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72.17.17.253\管理課共有\080 施設管理\【機構本部共有フォルダ】\岡田\R8電力供給\01_入札執行伺い一式\⑧配布資料\"/>
    </mc:Choice>
  </mc:AlternateContent>
  <xr:revisionPtr revIDLastSave="0" documentId="13_ncr:1_{E84B9BF2-143F-4895-AD44-2C3C891530A7}" xr6:coauthVersionLast="47" xr6:coauthVersionMax="47" xr10:uidLastSave="{00000000-0000-0000-0000-000000000000}"/>
  <bookViews>
    <workbookView xWindow="-108" yWindow="-108" windowWidth="23256" windowHeight="13896" firstSheet="13" activeTab="13" xr2:uid="{00000000-000D-0000-FFFF-FFFF00000000}"/>
  </bookViews>
  <sheets>
    <sheet name="H27年度電力A" sheetId="3" r:id="rId1"/>
    <sheet name="H28年度電力A" sheetId="4" r:id="rId2"/>
    <sheet name="H29年度電力A" sheetId="5" r:id="rId3"/>
    <sheet name="H30年度電力A" sheetId="6" r:id="rId4"/>
    <sheet name="H31年度電力A" sheetId="8" r:id="rId5"/>
    <sheet name="R５年度電力A" sheetId="9" r:id="rId6"/>
    <sheet name="R５年度電力A (約款料金)" sheetId="10" r:id="rId7"/>
    <sheet name="botu" sheetId="11" r:id="rId8"/>
    <sheet name="R6年度電力A (2)" sheetId="12" r:id="rId9"/>
    <sheet name="R6年度電力A (3)" sheetId="13" r:id="rId10"/>
    <sheet name="R7年度電力A " sheetId="14" r:id="rId11"/>
    <sheet name="R7年度電力A(設計用）" sheetId="15" r:id="rId12"/>
    <sheet name="R7年度電力A  VER2" sheetId="16" r:id="rId13"/>
    <sheet name="R7年度電力A  VER3" sheetId="18" r:id="rId14"/>
  </sheets>
  <externalReferences>
    <externalReference r:id="rId15"/>
  </externalReferences>
  <definedNames>
    <definedName name="_xlnm.Print_Area" localSheetId="7">botu!$A$1:$Q$49</definedName>
    <definedName name="_xlnm.Print_Area" localSheetId="0">H27年度電力A!$A$1:$Q$53</definedName>
    <definedName name="_xlnm.Print_Area" localSheetId="1">H28年度電力A!$A$1:$Q$53</definedName>
    <definedName name="_xlnm.Print_Area" localSheetId="2">H29年度電力A!$A$1:$I$48</definedName>
    <definedName name="_xlnm.Print_Area" localSheetId="3">H30年度電力A!$A$1:$Q$48</definedName>
    <definedName name="_xlnm.Print_Area" localSheetId="5">'R５年度電力A'!$A$1:$Q$49</definedName>
    <definedName name="_xlnm.Print_Area" localSheetId="6">'R５年度電力A (約款料金)'!$A$1:$Q$49</definedName>
    <definedName name="_xlnm.Print_Area" localSheetId="8">'R6年度電力A (2)'!$A$1:$Q$49</definedName>
    <definedName name="_xlnm.Print_Area" localSheetId="9">'R6年度電力A (3)'!$A$1:$Q$49</definedName>
    <definedName name="_xlnm.Print_Area" localSheetId="10">'R7年度電力A '!$A$1:$Q$49</definedName>
    <definedName name="_xlnm.Print_Area" localSheetId="12">'R7年度電力A  VER2'!$A$1:$Q$49</definedName>
    <definedName name="_xlnm.Print_Area" localSheetId="13">'R7年度電力A  VER3'!$A$1:$Q$49</definedName>
    <definedName name="_xlnm.Print_Area" localSheetId="11">'R7年度電力A(設計用）'!$A$1:$Q$49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18" l="1"/>
  <c r="P45" i="18" s="1"/>
  <c r="G44" i="18"/>
  <c r="F44" i="18"/>
  <c r="F8" i="18"/>
  <c r="F17" i="18"/>
  <c r="K25" i="18"/>
  <c r="K22" i="18"/>
  <c r="K19" i="18"/>
  <c r="K18" i="18"/>
  <c r="O44" i="18"/>
  <c r="K43" i="18"/>
  <c r="I43" i="18"/>
  <c r="Q42" i="18"/>
  <c r="N42" i="18"/>
  <c r="I42" i="18"/>
  <c r="K42" i="18"/>
  <c r="Q41" i="18"/>
  <c r="K41" i="18"/>
  <c r="F41" i="18"/>
  <c r="K40" i="18"/>
  <c r="I40" i="18"/>
  <c r="Q39" i="18"/>
  <c r="N39" i="18"/>
  <c r="K39" i="18"/>
  <c r="I39" i="18"/>
  <c r="Q38" i="18"/>
  <c r="K38" i="18"/>
  <c r="F38" i="18"/>
  <c r="K37" i="18"/>
  <c r="I37" i="18"/>
  <c r="Q36" i="18"/>
  <c r="N36" i="18"/>
  <c r="K36" i="18"/>
  <c r="I36" i="18"/>
  <c r="Q35" i="18"/>
  <c r="K35" i="18"/>
  <c r="F35" i="18"/>
  <c r="K34" i="18"/>
  <c r="I34" i="18"/>
  <c r="Q33" i="18"/>
  <c r="N33" i="18"/>
  <c r="K33" i="18"/>
  <c r="I33" i="18"/>
  <c r="Q32" i="18"/>
  <c r="K32" i="18"/>
  <c r="F32" i="18"/>
  <c r="K31" i="18"/>
  <c r="I31" i="18"/>
  <c r="Q30" i="18"/>
  <c r="N30" i="18"/>
  <c r="K30" i="18"/>
  <c r="I30" i="18"/>
  <c r="Q29" i="18"/>
  <c r="K29" i="18"/>
  <c r="F29" i="18"/>
  <c r="I28" i="18"/>
  <c r="K28" i="18"/>
  <c r="Q27" i="18"/>
  <c r="N27" i="18"/>
  <c r="I27" i="18"/>
  <c r="K27" i="18"/>
  <c r="Q26" i="18"/>
  <c r="K26" i="18"/>
  <c r="F26" i="18"/>
  <c r="I25" i="18"/>
  <c r="Q24" i="18"/>
  <c r="N24" i="18"/>
  <c r="I24" i="18"/>
  <c r="K24" i="18"/>
  <c r="Q23" i="18"/>
  <c r="K23" i="18"/>
  <c r="I23" i="18"/>
  <c r="F23" i="18"/>
  <c r="I22" i="18"/>
  <c r="Q21" i="18"/>
  <c r="N21" i="18"/>
  <c r="K21" i="18"/>
  <c r="I21" i="18"/>
  <c r="Q20" i="18"/>
  <c r="K20" i="18"/>
  <c r="I20" i="18"/>
  <c r="F20" i="18"/>
  <c r="I19" i="18"/>
  <c r="Q18" i="18"/>
  <c r="N18" i="18"/>
  <c r="I18" i="18"/>
  <c r="Q17" i="18"/>
  <c r="K17" i="18"/>
  <c r="I17" i="18"/>
  <c r="I16" i="18"/>
  <c r="K16" i="18"/>
  <c r="Q15" i="18"/>
  <c r="N15" i="18"/>
  <c r="I15" i="18"/>
  <c r="K15" i="18"/>
  <c r="Q14" i="18"/>
  <c r="K14" i="18"/>
  <c r="F14" i="18"/>
  <c r="I13" i="18"/>
  <c r="K13" i="18"/>
  <c r="Q12" i="18"/>
  <c r="N12" i="18"/>
  <c r="I12" i="18"/>
  <c r="K12" i="18"/>
  <c r="Q11" i="18"/>
  <c r="K11" i="18"/>
  <c r="F11" i="18"/>
  <c r="K10" i="18"/>
  <c r="I10" i="18"/>
  <c r="Q9" i="18"/>
  <c r="N9" i="18"/>
  <c r="K9" i="18"/>
  <c r="I9" i="18"/>
  <c r="Q8" i="18"/>
  <c r="K8" i="18"/>
  <c r="G43" i="16"/>
  <c r="G12" i="16"/>
  <c r="G42" i="16"/>
  <c r="K39" i="16"/>
  <c r="G24" i="16"/>
  <c r="K24" i="16" s="1"/>
  <c r="G28" i="16"/>
  <c r="G25" i="16"/>
  <c r="G27" i="16"/>
  <c r="K27" i="16" s="1"/>
  <c r="G16" i="16"/>
  <c r="K12" i="16"/>
  <c r="G13" i="16"/>
  <c r="G15" i="16"/>
  <c r="K15" i="16" s="1"/>
  <c r="K18" i="16"/>
  <c r="K19" i="16"/>
  <c r="K25" i="16"/>
  <c r="K30" i="16"/>
  <c r="K31" i="16"/>
  <c r="K43" i="16"/>
  <c r="K42" i="16"/>
  <c r="K28" i="16"/>
  <c r="K22" i="16"/>
  <c r="K21" i="16"/>
  <c r="K13" i="16"/>
  <c r="O44" i="16"/>
  <c r="I43" i="16"/>
  <c r="Q42" i="16"/>
  <c r="N42" i="16"/>
  <c r="I42" i="16"/>
  <c r="Q41" i="16"/>
  <c r="K41" i="16"/>
  <c r="F41" i="16"/>
  <c r="K40" i="16"/>
  <c r="I40" i="16"/>
  <c r="Q39" i="16"/>
  <c r="N39" i="16"/>
  <c r="I39" i="16"/>
  <c r="Q38" i="16"/>
  <c r="K38" i="16"/>
  <c r="F38" i="16"/>
  <c r="K37" i="16"/>
  <c r="I37" i="16"/>
  <c r="Q36" i="16"/>
  <c r="N36" i="16"/>
  <c r="K36" i="16"/>
  <c r="I36" i="16"/>
  <c r="Q35" i="16"/>
  <c r="K35" i="16"/>
  <c r="F35" i="16"/>
  <c r="K34" i="16"/>
  <c r="I34" i="16"/>
  <c r="Q33" i="16"/>
  <c r="N33" i="16"/>
  <c r="K33" i="16"/>
  <c r="I33" i="16"/>
  <c r="Q32" i="16"/>
  <c r="K32" i="16"/>
  <c r="F32" i="16"/>
  <c r="I31" i="16"/>
  <c r="Q30" i="16"/>
  <c r="N30" i="16"/>
  <c r="I30" i="16"/>
  <c r="Q29" i="16"/>
  <c r="K29" i="16"/>
  <c r="F29" i="16"/>
  <c r="I28" i="16"/>
  <c r="Q27" i="16"/>
  <c r="N27" i="16"/>
  <c r="I27" i="16"/>
  <c r="Q26" i="16"/>
  <c r="K26" i="16"/>
  <c r="F26" i="16"/>
  <c r="I25" i="16"/>
  <c r="Q24" i="16"/>
  <c r="N24" i="16"/>
  <c r="I24" i="16"/>
  <c r="Q23" i="16"/>
  <c r="K23" i="16"/>
  <c r="I23" i="16"/>
  <c r="F23" i="16"/>
  <c r="I22" i="16"/>
  <c r="Q21" i="16"/>
  <c r="N21" i="16"/>
  <c r="I21" i="16"/>
  <c r="Q20" i="16"/>
  <c r="K20" i="16"/>
  <c r="I20" i="16"/>
  <c r="F20" i="16"/>
  <c r="I19" i="16"/>
  <c r="Q18" i="16"/>
  <c r="N18" i="16"/>
  <c r="I18" i="16"/>
  <c r="Q17" i="16"/>
  <c r="K17" i="16"/>
  <c r="I17" i="16"/>
  <c r="F17" i="16"/>
  <c r="I16" i="16"/>
  <c r="Q15" i="16"/>
  <c r="N15" i="16"/>
  <c r="I15" i="16"/>
  <c r="Q14" i="16"/>
  <c r="K14" i="16"/>
  <c r="F14" i="16"/>
  <c r="I13" i="16"/>
  <c r="Q12" i="16"/>
  <c r="N12" i="16"/>
  <c r="I12" i="16"/>
  <c r="Q11" i="16"/>
  <c r="K11" i="16"/>
  <c r="F11" i="16"/>
  <c r="F44" i="16" s="1"/>
  <c r="K10" i="16"/>
  <c r="I10" i="16"/>
  <c r="Q9" i="16"/>
  <c r="N9" i="16"/>
  <c r="I9" i="16"/>
  <c r="Q8" i="16"/>
  <c r="Q44" i="16" s="1"/>
  <c r="K8" i="16"/>
  <c r="F8" i="16"/>
  <c r="O44" i="15"/>
  <c r="G44" i="15"/>
  <c r="K43" i="15"/>
  <c r="I43" i="15"/>
  <c r="Q42" i="15"/>
  <c r="N42" i="15"/>
  <c r="K42" i="15"/>
  <c r="I42" i="15"/>
  <c r="Q41" i="15"/>
  <c r="K41" i="15"/>
  <c r="F41" i="15"/>
  <c r="K40" i="15"/>
  <c r="I40" i="15"/>
  <c r="Q39" i="15"/>
  <c r="N39" i="15"/>
  <c r="K39" i="15"/>
  <c r="I39" i="15"/>
  <c r="Q38" i="15"/>
  <c r="K38" i="15"/>
  <c r="F38" i="15"/>
  <c r="K37" i="15"/>
  <c r="I37" i="15"/>
  <c r="Q36" i="15"/>
  <c r="N36" i="15"/>
  <c r="K36" i="15"/>
  <c r="I36" i="15"/>
  <c r="Q35" i="15"/>
  <c r="K35" i="15"/>
  <c r="F35" i="15"/>
  <c r="K34" i="15"/>
  <c r="I34" i="15"/>
  <c r="Q33" i="15"/>
  <c r="N33" i="15"/>
  <c r="K33" i="15"/>
  <c r="I33" i="15"/>
  <c r="Q32" i="15"/>
  <c r="K32" i="15"/>
  <c r="F32" i="15"/>
  <c r="K31" i="15"/>
  <c r="I31" i="15"/>
  <c r="Q30" i="15"/>
  <c r="N30" i="15"/>
  <c r="K30" i="15"/>
  <c r="I30" i="15"/>
  <c r="Q29" i="15"/>
  <c r="K29" i="15"/>
  <c r="F29" i="15"/>
  <c r="K28" i="15"/>
  <c r="I28" i="15"/>
  <c r="Q27" i="15"/>
  <c r="N27" i="15"/>
  <c r="K27" i="15"/>
  <c r="I27" i="15"/>
  <c r="Q26" i="15"/>
  <c r="K26" i="15"/>
  <c r="F26" i="15"/>
  <c r="K25" i="15"/>
  <c r="I25" i="15"/>
  <c r="Q24" i="15"/>
  <c r="N24" i="15"/>
  <c r="K24" i="15"/>
  <c r="I24" i="15"/>
  <c r="Q23" i="15"/>
  <c r="K23" i="15"/>
  <c r="I23" i="15"/>
  <c r="F23" i="15"/>
  <c r="K22" i="15"/>
  <c r="I22" i="15"/>
  <c r="Q21" i="15"/>
  <c r="N21" i="15"/>
  <c r="K21" i="15"/>
  <c r="I21" i="15"/>
  <c r="Q20" i="15"/>
  <c r="K20" i="15"/>
  <c r="I20" i="15"/>
  <c r="F20" i="15"/>
  <c r="K19" i="15"/>
  <c r="I19" i="15"/>
  <c r="Q18" i="15"/>
  <c r="N18" i="15"/>
  <c r="K18" i="15"/>
  <c r="I18" i="15"/>
  <c r="Q17" i="15"/>
  <c r="K17" i="15"/>
  <c r="I17" i="15"/>
  <c r="F17" i="15"/>
  <c r="K16" i="15"/>
  <c r="I16" i="15"/>
  <c r="Q15" i="15"/>
  <c r="N15" i="15"/>
  <c r="K15" i="15"/>
  <c r="I15" i="15"/>
  <c r="Q14" i="15"/>
  <c r="K14" i="15"/>
  <c r="F14" i="15"/>
  <c r="K13" i="15"/>
  <c r="I13" i="15"/>
  <c r="Q12" i="15"/>
  <c r="N12" i="15"/>
  <c r="K12" i="15"/>
  <c r="I12" i="15"/>
  <c r="Q11" i="15"/>
  <c r="K11" i="15"/>
  <c r="F11" i="15"/>
  <c r="K10" i="15"/>
  <c r="I10" i="15"/>
  <c r="Q9" i="15"/>
  <c r="N9" i="15"/>
  <c r="K9" i="15"/>
  <c r="I9" i="15"/>
  <c r="Q8" i="15"/>
  <c r="K8" i="15"/>
  <c r="K44" i="15" s="1"/>
  <c r="F8" i="15"/>
  <c r="F44" i="15" s="1"/>
  <c r="G44" i="14"/>
  <c r="K43" i="14"/>
  <c r="K42" i="14"/>
  <c r="K40" i="14"/>
  <c r="K39" i="14"/>
  <c r="K34" i="14"/>
  <c r="K33" i="14"/>
  <c r="K31" i="14"/>
  <c r="K27" i="14"/>
  <c r="K25" i="14"/>
  <c r="K24" i="14"/>
  <c r="K23" i="14"/>
  <c r="K22" i="14"/>
  <c r="K21" i="14"/>
  <c r="K20" i="14"/>
  <c r="K19" i="14"/>
  <c r="K17" i="14"/>
  <c r="K15" i="14"/>
  <c r="K13" i="14"/>
  <c r="K12" i="14"/>
  <c r="K10" i="14"/>
  <c r="K9" i="14"/>
  <c r="N21" i="10"/>
  <c r="N24" i="10"/>
  <c r="N18" i="10"/>
  <c r="N9" i="14"/>
  <c r="F8" i="14"/>
  <c r="O44" i="14"/>
  <c r="I43" i="14"/>
  <c r="Q42" i="14"/>
  <c r="N42" i="14"/>
  <c r="I42" i="14"/>
  <c r="Q41" i="14"/>
  <c r="K41" i="14"/>
  <c r="F41" i="14"/>
  <c r="I40" i="14"/>
  <c r="Q39" i="14"/>
  <c r="N39" i="14"/>
  <c r="I39" i="14"/>
  <c r="Q38" i="14"/>
  <c r="K38" i="14"/>
  <c r="F38" i="14"/>
  <c r="K37" i="14"/>
  <c r="I37" i="14"/>
  <c r="Q36" i="14"/>
  <c r="N36" i="14"/>
  <c r="K36" i="14"/>
  <c r="I36" i="14"/>
  <c r="Q35" i="14"/>
  <c r="K35" i="14"/>
  <c r="F35" i="14"/>
  <c r="I34" i="14"/>
  <c r="Q33" i="14"/>
  <c r="N33" i="14"/>
  <c r="I33" i="14"/>
  <c r="Q32" i="14"/>
  <c r="K32" i="14"/>
  <c r="F32" i="14"/>
  <c r="I31" i="14"/>
  <c r="Q30" i="14"/>
  <c r="N30" i="14"/>
  <c r="K30" i="14"/>
  <c r="I30" i="14"/>
  <c r="Q29" i="14"/>
  <c r="K29" i="14"/>
  <c r="F29" i="14"/>
  <c r="K28" i="14"/>
  <c r="I28" i="14"/>
  <c r="Q27" i="14"/>
  <c r="N27" i="14"/>
  <c r="I27" i="14"/>
  <c r="Q26" i="14"/>
  <c r="K26" i="14"/>
  <c r="F26" i="14"/>
  <c r="I25" i="14"/>
  <c r="Q24" i="14"/>
  <c r="N24" i="14"/>
  <c r="I24" i="14"/>
  <c r="Q23" i="14"/>
  <c r="I23" i="14"/>
  <c r="F23" i="14"/>
  <c r="I22" i="14"/>
  <c r="Q21" i="14"/>
  <c r="N21" i="14"/>
  <c r="I21" i="14"/>
  <c r="Q20" i="14"/>
  <c r="I20" i="14"/>
  <c r="F20" i="14"/>
  <c r="I19" i="14"/>
  <c r="Q18" i="14"/>
  <c r="N18" i="14"/>
  <c r="K18" i="14"/>
  <c r="I18" i="14"/>
  <c r="Q17" i="14"/>
  <c r="I17" i="14"/>
  <c r="F17" i="14"/>
  <c r="K16" i="14"/>
  <c r="I16" i="14"/>
  <c r="Q15" i="14"/>
  <c r="N15" i="14"/>
  <c r="I15" i="14"/>
  <c r="Q14" i="14"/>
  <c r="K14" i="14"/>
  <c r="F14" i="14"/>
  <c r="I13" i="14"/>
  <c r="Q12" i="14"/>
  <c r="N12" i="14"/>
  <c r="I12" i="14"/>
  <c r="Q11" i="14"/>
  <c r="K11" i="14"/>
  <c r="F11" i="14"/>
  <c r="I10" i="14"/>
  <c r="Q9" i="14"/>
  <c r="I9" i="14"/>
  <c r="Q8" i="14"/>
  <c r="K8" i="14"/>
  <c r="F8" i="12"/>
  <c r="Q44" i="18" l="1"/>
  <c r="K44" i="18"/>
  <c r="G44" i="16"/>
  <c r="K16" i="16"/>
  <c r="N44" i="16"/>
  <c r="K9" i="16"/>
  <c r="Q44" i="15"/>
  <c r="N44" i="15"/>
  <c r="P45" i="15"/>
  <c r="P46" i="15" s="1"/>
  <c r="K44" i="14"/>
  <c r="Q44" i="14"/>
  <c r="N44" i="14"/>
  <c r="F44" i="14"/>
  <c r="O44" i="13"/>
  <c r="G44" i="13"/>
  <c r="K43" i="13"/>
  <c r="I43" i="13"/>
  <c r="Q42" i="13"/>
  <c r="N42" i="13"/>
  <c r="K42" i="13"/>
  <c r="I42" i="13"/>
  <c r="Q41" i="13"/>
  <c r="K41" i="13"/>
  <c r="F41" i="13"/>
  <c r="K40" i="13"/>
  <c r="I40" i="13"/>
  <c r="Q39" i="13"/>
  <c r="N39" i="13"/>
  <c r="K39" i="13"/>
  <c r="I39" i="13"/>
  <c r="Q38" i="13"/>
  <c r="K38" i="13"/>
  <c r="F38" i="13"/>
  <c r="K37" i="13"/>
  <c r="I37" i="13"/>
  <c r="Q36" i="13"/>
  <c r="N36" i="13"/>
  <c r="K36" i="13"/>
  <c r="I36" i="13"/>
  <c r="Q35" i="13"/>
  <c r="K35" i="13"/>
  <c r="F35" i="13"/>
  <c r="K34" i="13"/>
  <c r="I34" i="13"/>
  <c r="Q33" i="13"/>
  <c r="N33" i="13"/>
  <c r="K33" i="13"/>
  <c r="I33" i="13"/>
  <c r="Q32" i="13"/>
  <c r="K32" i="13"/>
  <c r="F32" i="13"/>
  <c r="K31" i="13"/>
  <c r="I31" i="13"/>
  <c r="Q30" i="13"/>
  <c r="N30" i="13"/>
  <c r="K30" i="13"/>
  <c r="I30" i="13"/>
  <c r="Q29" i="13"/>
  <c r="K29" i="13"/>
  <c r="F29" i="13"/>
  <c r="K28" i="13"/>
  <c r="I28" i="13"/>
  <c r="Q27" i="13"/>
  <c r="N27" i="13"/>
  <c r="K27" i="13"/>
  <c r="I27" i="13"/>
  <c r="Q26" i="13"/>
  <c r="K26" i="13"/>
  <c r="F26" i="13"/>
  <c r="K25" i="13"/>
  <c r="I25" i="13"/>
  <c r="Q24" i="13"/>
  <c r="N24" i="13"/>
  <c r="K24" i="13"/>
  <c r="I24" i="13"/>
  <c r="Q23" i="13"/>
  <c r="K23" i="13"/>
  <c r="I23" i="13"/>
  <c r="F23" i="13"/>
  <c r="K22" i="13"/>
  <c r="I22" i="13"/>
  <c r="Q21" i="13"/>
  <c r="N21" i="13"/>
  <c r="K21" i="13"/>
  <c r="I21" i="13"/>
  <c r="Q20" i="13"/>
  <c r="K20" i="13"/>
  <c r="I20" i="13"/>
  <c r="F20" i="13"/>
  <c r="K19" i="13"/>
  <c r="I19" i="13"/>
  <c r="Q18" i="13"/>
  <c r="N18" i="13"/>
  <c r="K18" i="13"/>
  <c r="I18" i="13"/>
  <c r="Q17" i="13"/>
  <c r="K17" i="13"/>
  <c r="I17" i="13"/>
  <c r="F17" i="13"/>
  <c r="K16" i="13"/>
  <c r="I16" i="13"/>
  <c r="Q15" i="13"/>
  <c r="N15" i="13"/>
  <c r="K15" i="13"/>
  <c r="I15" i="13"/>
  <c r="Q14" i="13"/>
  <c r="K14" i="13"/>
  <c r="F14" i="13"/>
  <c r="K13" i="13"/>
  <c r="I13" i="13"/>
  <c r="Q12" i="13"/>
  <c r="N12" i="13"/>
  <c r="K12" i="13"/>
  <c r="I12" i="13"/>
  <c r="Q11" i="13"/>
  <c r="K11" i="13"/>
  <c r="F11" i="13"/>
  <c r="K10" i="13"/>
  <c r="I10" i="13"/>
  <c r="Q9" i="13"/>
  <c r="N9" i="13"/>
  <c r="K9" i="13"/>
  <c r="I9" i="13"/>
  <c r="Q8" i="13"/>
  <c r="K8" i="13"/>
  <c r="F8" i="13"/>
  <c r="F41" i="11"/>
  <c r="O44" i="12"/>
  <c r="G44" i="12"/>
  <c r="K43" i="12"/>
  <c r="I43" i="12"/>
  <c r="Q42" i="12"/>
  <c r="N42" i="12"/>
  <c r="K42" i="12"/>
  <c r="I42" i="12"/>
  <c r="Q41" i="12"/>
  <c r="K41" i="12"/>
  <c r="F41" i="12"/>
  <c r="K40" i="12"/>
  <c r="I40" i="12"/>
  <c r="Q39" i="12"/>
  <c r="N39" i="12"/>
  <c r="K39" i="12"/>
  <c r="I39" i="12"/>
  <c r="Q38" i="12"/>
  <c r="K38" i="12"/>
  <c r="F38" i="12"/>
  <c r="K37" i="12"/>
  <c r="I37" i="12"/>
  <c r="Q36" i="12"/>
  <c r="N36" i="12"/>
  <c r="K36" i="12"/>
  <c r="I36" i="12"/>
  <c r="Q35" i="12"/>
  <c r="K35" i="12"/>
  <c r="F35" i="12"/>
  <c r="K34" i="12"/>
  <c r="I34" i="12"/>
  <c r="Q33" i="12"/>
  <c r="N33" i="12"/>
  <c r="K33" i="12"/>
  <c r="I33" i="12"/>
  <c r="Q32" i="12"/>
  <c r="K32" i="12"/>
  <c r="F32" i="12"/>
  <c r="K31" i="12"/>
  <c r="I31" i="12"/>
  <c r="Q30" i="12"/>
  <c r="N30" i="12"/>
  <c r="K30" i="12"/>
  <c r="I30" i="12"/>
  <c r="Q29" i="12"/>
  <c r="K29" i="12"/>
  <c r="F29" i="12"/>
  <c r="K28" i="12"/>
  <c r="I28" i="12"/>
  <c r="Q27" i="12"/>
  <c r="N27" i="12"/>
  <c r="K27" i="12"/>
  <c r="I27" i="12"/>
  <c r="Q26" i="12"/>
  <c r="K26" i="12"/>
  <c r="F26" i="12"/>
  <c r="K25" i="12"/>
  <c r="I25" i="12"/>
  <c r="Q24" i="12"/>
  <c r="N24" i="12"/>
  <c r="K24" i="12"/>
  <c r="I24" i="12"/>
  <c r="Q23" i="12"/>
  <c r="K23" i="12"/>
  <c r="I23" i="12"/>
  <c r="F23" i="12"/>
  <c r="K22" i="12"/>
  <c r="I22" i="12"/>
  <c r="Q21" i="12"/>
  <c r="N21" i="12"/>
  <c r="K21" i="12"/>
  <c r="I21" i="12"/>
  <c r="Q20" i="12"/>
  <c r="K20" i="12"/>
  <c r="I20" i="12"/>
  <c r="F20" i="12"/>
  <c r="K19" i="12"/>
  <c r="I19" i="12"/>
  <c r="Q18" i="12"/>
  <c r="N18" i="12"/>
  <c r="K18" i="12"/>
  <c r="I18" i="12"/>
  <c r="Q17" i="12"/>
  <c r="K17" i="12"/>
  <c r="I17" i="12"/>
  <c r="F17" i="12"/>
  <c r="K16" i="12"/>
  <c r="I16" i="12"/>
  <c r="Q15" i="12"/>
  <c r="N15" i="12"/>
  <c r="K15" i="12"/>
  <c r="I15" i="12"/>
  <c r="Q14" i="12"/>
  <c r="K14" i="12"/>
  <c r="F14" i="12"/>
  <c r="K13" i="12"/>
  <c r="I13" i="12"/>
  <c r="Q12" i="12"/>
  <c r="N12" i="12"/>
  <c r="K12" i="12"/>
  <c r="I12" i="12"/>
  <c r="Q11" i="12"/>
  <c r="K11" i="12"/>
  <c r="F11" i="12"/>
  <c r="K10" i="12"/>
  <c r="I10" i="12"/>
  <c r="Q9" i="12"/>
  <c r="N9" i="12"/>
  <c r="K9" i="12"/>
  <c r="I9" i="12"/>
  <c r="Q8" i="12"/>
  <c r="K8" i="12"/>
  <c r="P46" i="18" l="1"/>
  <c r="K44" i="16"/>
  <c r="P45" i="16" s="1"/>
  <c r="P46" i="16" s="1"/>
  <c r="P45" i="14"/>
  <c r="P46" i="14" s="1"/>
  <c r="N44" i="12"/>
  <c r="Q44" i="12"/>
  <c r="Q44" i="13"/>
  <c r="N44" i="13"/>
  <c r="K44" i="13"/>
  <c r="F44" i="13"/>
  <c r="F44" i="12"/>
  <c r="K44" i="12"/>
  <c r="P45" i="13" l="1"/>
  <c r="P46" i="13" s="1"/>
  <c r="P45" i="12"/>
  <c r="P46" i="12" s="1"/>
  <c r="O44" i="11"/>
  <c r="K43" i="11"/>
  <c r="I43" i="11"/>
  <c r="Q42" i="11"/>
  <c r="N42" i="11"/>
  <c r="K42" i="11"/>
  <c r="I42" i="11"/>
  <c r="Q41" i="11"/>
  <c r="K41" i="11"/>
  <c r="K40" i="11"/>
  <c r="I40" i="11"/>
  <c r="Q39" i="11"/>
  <c r="N39" i="11"/>
  <c r="K39" i="11"/>
  <c r="I39" i="11"/>
  <c r="Q38" i="11"/>
  <c r="K38" i="11"/>
  <c r="F38" i="11"/>
  <c r="K37" i="11"/>
  <c r="I37" i="11"/>
  <c r="Q36" i="11"/>
  <c r="N36" i="11"/>
  <c r="K36" i="11"/>
  <c r="I36" i="11"/>
  <c r="Q35" i="11"/>
  <c r="K35" i="11"/>
  <c r="F35" i="11"/>
  <c r="K34" i="11"/>
  <c r="I34" i="11"/>
  <c r="Q33" i="11"/>
  <c r="N33" i="11"/>
  <c r="K33" i="11"/>
  <c r="I33" i="11"/>
  <c r="Q32" i="11"/>
  <c r="K32" i="11"/>
  <c r="F32" i="11"/>
  <c r="K31" i="11"/>
  <c r="I31" i="11"/>
  <c r="Q30" i="11"/>
  <c r="N30" i="11"/>
  <c r="K30" i="11"/>
  <c r="I30" i="11"/>
  <c r="Q29" i="11"/>
  <c r="K29" i="11"/>
  <c r="F29" i="11"/>
  <c r="K28" i="11"/>
  <c r="I28" i="11"/>
  <c r="Q27" i="11"/>
  <c r="N27" i="11"/>
  <c r="K27" i="11"/>
  <c r="I27" i="11"/>
  <c r="Q26" i="11"/>
  <c r="K26" i="11"/>
  <c r="F26" i="11"/>
  <c r="K25" i="11"/>
  <c r="I25" i="11"/>
  <c r="Q24" i="11"/>
  <c r="N24" i="11"/>
  <c r="K24" i="11"/>
  <c r="I24" i="11"/>
  <c r="Q23" i="11"/>
  <c r="K23" i="11"/>
  <c r="I23" i="11"/>
  <c r="F23" i="11"/>
  <c r="K22" i="11"/>
  <c r="I22" i="11"/>
  <c r="Q21" i="11"/>
  <c r="N21" i="11"/>
  <c r="K21" i="11"/>
  <c r="I21" i="11"/>
  <c r="Q20" i="11"/>
  <c r="K20" i="11"/>
  <c r="I20" i="11"/>
  <c r="F20" i="11"/>
  <c r="K19" i="11"/>
  <c r="I19" i="11"/>
  <c r="Q18" i="11"/>
  <c r="N18" i="11"/>
  <c r="K18" i="11"/>
  <c r="I18" i="11"/>
  <c r="Q17" i="11"/>
  <c r="K17" i="11"/>
  <c r="I17" i="11"/>
  <c r="F17" i="11"/>
  <c r="K16" i="11"/>
  <c r="I16" i="11"/>
  <c r="Q15" i="11"/>
  <c r="N15" i="11"/>
  <c r="K15" i="11"/>
  <c r="I15" i="11"/>
  <c r="Q14" i="11"/>
  <c r="K14" i="11"/>
  <c r="F14" i="11"/>
  <c r="K13" i="11"/>
  <c r="I13" i="11"/>
  <c r="Q12" i="11"/>
  <c r="N12" i="11"/>
  <c r="K12" i="11"/>
  <c r="I12" i="11"/>
  <c r="Q11" i="11"/>
  <c r="K11" i="11"/>
  <c r="F11" i="11"/>
  <c r="K10" i="11"/>
  <c r="I10" i="11"/>
  <c r="Q9" i="11"/>
  <c r="N9" i="11"/>
  <c r="K9" i="11"/>
  <c r="I9" i="11"/>
  <c r="Q8" i="11"/>
  <c r="K8" i="11"/>
  <c r="F8" i="11"/>
  <c r="J20" i="9"/>
  <c r="J19" i="9"/>
  <c r="N44" i="11" l="1"/>
  <c r="Q44" i="11"/>
  <c r="F44" i="11"/>
  <c r="K44" i="11"/>
  <c r="G44" i="11"/>
  <c r="F8" i="10"/>
  <c r="P45" i="11" l="1"/>
  <c r="P46" i="11"/>
  <c r="N12" i="10" l="1"/>
  <c r="K18" i="10" l="1"/>
  <c r="O44" i="10"/>
  <c r="K43" i="10"/>
  <c r="I43" i="10"/>
  <c r="Q42" i="10"/>
  <c r="N42" i="10"/>
  <c r="K42" i="10"/>
  <c r="I42" i="10"/>
  <c r="Q41" i="10"/>
  <c r="K41" i="10"/>
  <c r="F41" i="10"/>
  <c r="K40" i="10"/>
  <c r="I40" i="10"/>
  <c r="Q39" i="10"/>
  <c r="N39" i="10"/>
  <c r="K39" i="10"/>
  <c r="I39" i="10"/>
  <c r="Q38" i="10"/>
  <c r="K38" i="10"/>
  <c r="F38" i="10"/>
  <c r="K37" i="10"/>
  <c r="I37" i="10"/>
  <c r="Q36" i="10"/>
  <c r="N36" i="10"/>
  <c r="K36" i="10"/>
  <c r="I36" i="10"/>
  <c r="Q35" i="10"/>
  <c r="K35" i="10"/>
  <c r="F35" i="10"/>
  <c r="K34" i="10"/>
  <c r="I34" i="10"/>
  <c r="Q33" i="10"/>
  <c r="N33" i="10"/>
  <c r="K33" i="10"/>
  <c r="I33" i="10"/>
  <c r="Q32" i="10"/>
  <c r="K32" i="10"/>
  <c r="F32" i="10"/>
  <c r="K31" i="10"/>
  <c r="I31" i="10"/>
  <c r="Q30" i="10"/>
  <c r="N30" i="10"/>
  <c r="K30" i="10"/>
  <c r="I30" i="10"/>
  <c r="Q29" i="10"/>
  <c r="K29" i="10"/>
  <c r="F29" i="10"/>
  <c r="K28" i="10"/>
  <c r="I28" i="10"/>
  <c r="Q27" i="10"/>
  <c r="N27" i="10"/>
  <c r="K27" i="10"/>
  <c r="I27" i="10"/>
  <c r="Q26" i="10"/>
  <c r="K26" i="10"/>
  <c r="F26" i="10"/>
  <c r="F44" i="10" s="1"/>
  <c r="K25" i="10"/>
  <c r="I25" i="10"/>
  <c r="Q24" i="10"/>
  <c r="K24" i="10"/>
  <c r="I24" i="10"/>
  <c r="Q23" i="10"/>
  <c r="K23" i="10"/>
  <c r="I23" i="10"/>
  <c r="F23" i="10"/>
  <c r="K22" i="10"/>
  <c r="I22" i="10"/>
  <c r="Q21" i="10"/>
  <c r="K21" i="10"/>
  <c r="I21" i="10"/>
  <c r="Q20" i="10"/>
  <c r="K20" i="10"/>
  <c r="I20" i="10"/>
  <c r="F20" i="10"/>
  <c r="K19" i="10"/>
  <c r="I19" i="10"/>
  <c r="Q18" i="10"/>
  <c r="I18" i="10"/>
  <c r="Q17" i="10"/>
  <c r="K17" i="10"/>
  <c r="I17" i="10"/>
  <c r="F17" i="10"/>
  <c r="K16" i="10"/>
  <c r="I16" i="10"/>
  <c r="Q15" i="10"/>
  <c r="N15" i="10"/>
  <c r="K15" i="10"/>
  <c r="I15" i="10"/>
  <c r="Q14" i="10"/>
  <c r="K14" i="10"/>
  <c r="F14" i="10"/>
  <c r="K13" i="10"/>
  <c r="I13" i="10"/>
  <c r="Q12" i="10"/>
  <c r="K12" i="10"/>
  <c r="I12" i="10"/>
  <c r="Q11" i="10"/>
  <c r="G44" i="10"/>
  <c r="F11" i="10"/>
  <c r="K10" i="10"/>
  <c r="I10" i="10"/>
  <c r="Q9" i="10"/>
  <c r="N9" i="10"/>
  <c r="K9" i="10"/>
  <c r="I9" i="10"/>
  <c r="Q8" i="10"/>
  <c r="K8" i="10"/>
  <c r="Q44" i="10" l="1"/>
  <c r="N44" i="10"/>
  <c r="K11" i="10"/>
  <c r="K44" i="10" s="1"/>
  <c r="P45" i="10" l="1"/>
  <c r="P46" i="10" s="1"/>
  <c r="F8" i="9"/>
  <c r="N9" i="9"/>
  <c r="G11" i="9" l="1"/>
  <c r="G14" i="9"/>
  <c r="G26" i="9"/>
  <c r="G29" i="9"/>
  <c r="G32" i="9"/>
  <c r="G34" i="8"/>
  <c r="G35" i="8"/>
  <c r="G35" i="9" s="1"/>
  <c r="G36" i="8"/>
  <c r="G37" i="8"/>
  <c r="G38" i="8"/>
  <c r="G38" i="9" s="1"/>
  <c r="G39" i="8"/>
  <c r="G40" i="8"/>
  <c r="G41" i="8"/>
  <c r="G41" i="9" s="1"/>
  <c r="G42" i="8"/>
  <c r="G43" i="8"/>
  <c r="G33" i="8"/>
  <c r="G44" i="9" l="1"/>
  <c r="J42" i="9"/>
  <c r="J39" i="9"/>
  <c r="J36" i="9"/>
  <c r="J33" i="9"/>
  <c r="J30" i="9"/>
  <c r="J27" i="9"/>
  <c r="J15" i="9"/>
  <c r="J12" i="9"/>
  <c r="J9" i="9"/>
  <c r="J23" i="9"/>
  <c r="J17" i="9"/>
  <c r="J43" i="9"/>
  <c r="J40" i="9"/>
  <c r="J37" i="9"/>
  <c r="J34" i="9"/>
  <c r="J31" i="9"/>
  <c r="J28" i="9"/>
  <c r="J25" i="9"/>
  <c r="J24" i="9"/>
  <c r="J22" i="9"/>
  <c r="J21" i="9"/>
  <c r="J18" i="9"/>
  <c r="J16" i="9"/>
  <c r="J13" i="9"/>
  <c r="J10" i="9"/>
  <c r="F11" i="9" l="1"/>
  <c r="K17" i="9"/>
  <c r="K19" i="9"/>
  <c r="K20" i="9"/>
  <c r="K21" i="9"/>
  <c r="K22" i="9"/>
  <c r="K23" i="9"/>
  <c r="K25" i="9"/>
  <c r="K27" i="9"/>
  <c r="K28" i="9"/>
  <c r="K29" i="9"/>
  <c r="K30" i="9"/>
  <c r="K31" i="9"/>
  <c r="K32" i="9"/>
  <c r="K33" i="9"/>
  <c r="K35" i="9"/>
  <c r="K36" i="9"/>
  <c r="K38" i="9"/>
  <c r="K39" i="9"/>
  <c r="K40" i="9"/>
  <c r="K41" i="9"/>
  <c r="K42" i="9"/>
  <c r="K43" i="9"/>
  <c r="K13" i="9"/>
  <c r="K14" i="9"/>
  <c r="K15" i="9"/>
  <c r="K16" i="9"/>
  <c r="K10" i="9"/>
  <c r="K11" i="9"/>
  <c r="K12" i="9"/>
  <c r="O44" i="9"/>
  <c r="I43" i="9"/>
  <c r="Q42" i="9"/>
  <c r="N42" i="9"/>
  <c r="I42" i="9"/>
  <c r="Q41" i="9"/>
  <c r="F41" i="9"/>
  <c r="I40" i="9"/>
  <c r="Q39" i="9"/>
  <c r="N39" i="9"/>
  <c r="I39" i="9"/>
  <c r="Q38" i="9"/>
  <c r="F38" i="9"/>
  <c r="K37" i="9"/>
  <c r="I37" i="9"/>
  <c r="Q36" i="9"/>
  <c r="N36" i="9"/>
  <c r="I36" i="9"/>
  <c r="Q35" i="9"/>
  <c r="F35" i="9"/>
  <c r="K34" i="9"/>
  <c r="I34" i="9"/>
  <c r="Q33" i="9"/>
  <c r="N33" i="9"/>
  <c r="I33" i="9"/>
  <c r="Q32" i="9"/>
  <c r="F32" i="9"/>
  <c r="I31" i="9"/>
  <c r="Q30" i="9"/>
  <c r="N30" i="9"/>
  <c r="I30" i="9"/>
  <c r="Q29" i="9"/>
  <c r="F29" i="9"/>
  <c r="I28" i="9"/>
  <c r="Q27" i="9"/>
  <c r="N27" i="9"/>
  <c r="I27" i="9"/>
  <c r="Q26" i="9"/>
  <c r="K26" i="9"/>
  <c r="F26" i="9"/>
  <c r="I25" i="9"/>
  <c r="Q24" i="9"/>
  <c r="N24" i="9"/>
  <c r="I24" i="9"/>
  <c r="K24" i="9"/>
  <c r="Q23" i="9"/>
  <c r="I23" i="9"/>
  <c r="F23" i="9"/>
  <c r="I22" i="9"/>
  <c r="Q21" i="9"/>
  <c r="N21" i="9"/>
  <c r="I21" i="9"/>
  <c r="Q20" i="9"/>
  <c r="I20" i="9"/>
  <c r="F20" i="9"/>
  <c r="I19" i="9"/>
  <c r="Q18" i="9"/>
  <c r="N18" i="9"/>
  <c r="I18" i="9"/>
  <c r="Q17" i="9"/>
  <c r="I17" i="9"/>
  <c r="F17" i="9"/>
  <c r="I16" i="9"/>
  <c r="Q15" i="9"/>
  <c r="N15" i="9"/>
  <c r="I15" i="9"/>
  <c r="Q14" i="9"/>
  <c r="F14" i="9"/>
  <c r="I13" i="9"/>
  <c r="Q12" i="9"/>
  <c r="N12" i="9"/>
  <c r="I12" i="9"/>
  <c r="Q11" i="9"/>
  <c r="I10" i="9"/>
  <c r="Q9" i="9"/>
  <c r="I9" i="9"/>
  <c r="Q8" i="9"/>
  <c r="K8" i="9"/>
  <c r="N44" i="9" l="1"/>
  <c r="Q44" i="9"/>
  <c r="K18" i="9"/>
  <c r="K9" i="9"/>
  <c r="F44" i="9"/>
  <c r="F8" i="8"/>
  <c r="J19" i="8"/>
  <c r="J17" i="8"/>
  <c r="J18" i="8"/>
  <c r="J10" i="8"/>
  <c r="J9" i="8"/>
  <c r="K44" i="9" l="1"/>
  <c r="P45" i="9" s="1"/>
  <c r="P46" i="9" s="1"/>
  <c r="Q12" i="8"/>
  <c r="Q14" i="8"/>
  <c r="Q15" i="8"/>
  <c r="Q17" i="8"/>
  <c r="Q18" i="8"/>
  <c r="Q20" i="8"/>
  <c r="Q21" i="8"/>
  <c r="Q23" i="8"/>
  <c r="Q24" i="8"/>
  <c r="Q26" i="8"/>
  <c r="Q27" i="8"/>
  <c r="Q29" i="8"/>
  <c r="Q30" i="8"/>
  <c r="Q32" i="8"/>
  <c r="Q33" i="8"/>
  <c r="Q35" i="8"/>
  <c r="Q36" i="8"/>
  <c r="Q38" i="8"/>
  <c r="Q39" i="8"/>
  <c r="Q41" i="8"/>
  <c r="Q42" i="8"/>
  <c r="Q11" i="8"/>
  <c r="Q9" i="8"/>
  <c r="Q8" i="8"/>
  <c r="F11" i="8"/>
  <c r="F14" i="8"/>
  <c r="F17" i="8"/>
  <c r="F20" i="8"/>
  <c r="F23" i="8"/>
  <c r="F26" i="8"/>
  <c r="F29" i="8"/>
  <c r="F32" i="8"/>
  <c r="F35" i="8"/>
  <c r="F38" i="8"/>
  <c r="F41" i="8"/>
  <c r="N9" i="8"/>
  <c r="K8" i="8"/>
  <c r="P47" i="9" l="1"/>
  <c r="P48" i="9" s="1"/>
  <c r="Q44" i="8"/>
  <c r="O44" i="8"/>
  <c r="I43" i="8"/>
  <c r="K43" i="8"/>
  <c r="N42" i="8"/>
  <c r="I42" i="8"/>
  <c r="K42" i="8"/>
  <c r="K41" i="8"/>
  <c r="I40" i="8"/>
  <c r="K40" i="8"/>
  <c r="N39" i="8"/>
  <c r="I39" i="8"/>
  <c r="K39" i="8"/>
  <c r="K38" i="8"/>
  <c r="K37" i="8"/>
  <c r="I37" i="8"/>
  <c r="N36" i="8"/>
  <c r="I36" i="8"/>
  <c r="K36" i="8"/>
  <c r="K35" i="8"/>
  <c r="I34" i="8"/>
  <c r="K34" i="8"/>
  <c r="N33" i="8"/>
  <c r="I33" i="8"/>
  <c r="K33" i="8"/>
  <c r="K32" i="8"/>
  <c r="I31" i="8"/>
  <c r="K31" i="8"/>
  <c r="N30" i="8"/>
  <c r="I30" i="8"/>
  <c r="K30" i="8"/>
  <c r="K29" i="8"/>
  <c r="I28" i="8"/>
  <c r="N27" i="8"/>
  <c r="I27" i="8"/>
  <c r="K27" i="8"/>
  <c r="K26" i="8"/>
  <c r="I25" i="8"/>
  <c r="N24" i="8"/>
  <c r="I24" i="8"/>
  <c r="K24" i="8"/>
  <c r="I23" i="8"/>
  <c r="K23" i="8"/>
  <c r="I22" i="8"/>
  <c r="N21" i="8"/>
  <c r="I21" i="8"/>
  <c r="K21" i="8"/>
  <c r="I20" i="8"/>
  <c r="K20" i="8"/>
  <c r="I19" i="8"/>
  <c r="N18" i="8"/>
  <c r="I18" i="8"/>
  <c r="K18" i="8"/>
  <c r="I17" i="8"/>
  <c r="K17" i="8"/>
  <c r="I16" i="8"/>
  <c r="N15" i="8"/>
  <c r="K15" i="8"/>
  <c r="I15" i="8"/>
  <c r="K14" i="8"/>
  <c r="I13" i="8"/>
  <c r="N12" i="8"/>
  <c r="I12" i="8"/>
  <c r="K12" i="8"/>
  <c r="K11" i="8"/>
  <c r="I10" i="8"/>
  <c r="I9" i="8"/>
  <c r="N44" i="8" l="1"/>
  <c r="K9" i="8"/>
  <c r="F44" i="8"/>
  <c r="N42" i="6"/>
  <c r="N41" i="6"/>
  <c r="N39" i="6"/>
  <c r="N38" i="6"/>
  <c r="N36" i="6"/>
  <c r="N35" i="6"/>
  <c r="N33" i="6"/>
  <c r="N32" i="6"/>
  <c r="N30" i="6"/>
  <c r="N27" i="6"/>
  <c r="N24" i="6"/>
  <c r="N21" i="6"/>
  <c r="N18" i="6"/>
  <c r="N15" i="6"/>
  <c r="N12" i="6"/>
  <c r="N9" i="6"/>
  <c r="F8" i="5"/>
  <c r="L42" i="4"/>
  <c r="L39" i="4"/>
  <c r="L36" i="4"/>
  <c r="L33" i="4"/>
  <c r="L30" i="4"/>
  <c r="L27" i="4"/>
  <c r="G28" i="4"/>
  <c r="K28" i="8" s="1"/>
  <c r="L24" i="4"/>
  <c r="G25" i="4"/>
  <c r="K25" i="8" s="1"/>
  <c r="L21" i="4"/>
  <c r="G22" i="4"/>
  <c r="K22" i="8" s="1"/>
  <c r="G19" i="4"/>
  <c r="K19" i="8" s="1"/>
  <c r="L18" i="4"/>
  <c r="G16" i="4"/>
  <c r="K16" i="8" s="1"/>
  <c r="L15" i="4"/>
  <c r="L12" i="4"/>
  <c r="G13" i="4"/>
  <c r="K13" i="8" s="1"/>
  <c r="L9" i="4"/>
  <c r="G10" i="4"/>
  <c r="K10" i="8" s="1"/>
  <c r="L42" i="3"/>
  <c r="L39" i="3"/>
  <c r="L36" i="3"/>
  <c r="L33" i="3"/>
  <c r="L30" i="3"/>
  <c r="L27" i="3"/>
  <c r="L24" i="3"/>
  <c r="O21" i="3"/>
  <c r="L18" i="3"/>
  <c r="L15" i="3"/>
  <c r="L12" i="3"/>
  <c r="L9" i="3"/>
  <c r="G44" i="8" l="1"/>
  <c r="K44" i="8"/>
  <c r="P45" i="8" s="1"/>
  <c r="P46" i="8" s="1"/>
  <c r="I9" i="4"/>
  <c r="F8" i="4"/>
  <c r="Q8" i="6" l="1"/>
  <c r="N29" i="6"/>
  <c r="N26" i="6"/>
  <c r="N23" i="6"/>
  <c r="N20" i="6"/>
  <c r="N17" i="6"/>
  <c r="N14" i="6"/>
  <c r="O44" i="6"/>
  <c r="Q42" i="6"/>
  <c r="Q41" i="6"/>
  <c r="Q39" i="6"/>
  <c r="Q38" i="6"/>
  <c r="Q36" i="6"/>
  <c r="Q35" i="6"/>
  <c r="Q33" i="6"/>
  <c r="Q32" i="6"/>
  <c r="Q30" i="6"/>
  <c r="Q29" i="6"/>
  <c r="Q27" i="6"/>
  <c r="Q26" i="6"/>
  <c r="Q24" i="6"/>
  <c r="Q23" i="6"/>
  <c r="Q21" i="6"/>
  <c r="Q20" i="6"/>
  <c r="Q18" i="6"/>
  <c r="Q17" i="6"/>
  <c r="Q15" i="6"/>
  <c r="Q14" i="6"/>
  <c r="Q12" i="6"/>
  <c r="Q11" i="6"/>
  <c r="N11" i="6"/>
  <c r="Q9" i="6"/>
  <c r="J21" i="6"/>
  <c r="J16" i="6"/>
  <c r="I25" i="6"/>
  <c r="J25" i="6" s="1"/>
  <c r="I24" i="6"/>
  <c r="J24" i="6" s="1"/>
  <c r="I23" i="6"/>
  <c r="J23" i="6" s="1"/>
  <c r="I22" i="6"/>
  <c r="J22" i="6" s="1"/>
  <c r="I21" i="6"/>
  <c r="I20" i="6"/>
  <c r="J20" i="6" s="1"/>
  <c r="I19" i="6"/>
  <c r="J19" i="6" s="1"/>
  <c r="I18" i="6"/>
  <c r="J18" i="6" s="1"/>
  <c r="I17" i="6"/>
  <c r="J17" i="6" s="1"/>
  <c r="I43" i="6"/>
  <c r="J43" i="6" s="1"/>
  <c r="I42" i="6"/>
  <c r="J42" i="6" s="1"/>
  <c r="I40" i="6"/>
  <c r="J40" i="6" s="1"/>
  <c r="I39" i="6"/>
  <c r="J39" i="6" s="1"/>
  <c r="I37" i="6"/>
  <c r="J37" i="6" s="1"/>
  <c r="I36" i="6"/>
  <c r="J36" i="6" s="1"/>
  <c r="I34" i="6"/>
  <c r="J34" i="6" s="1"/>
  <c r="I33" i="6"/>
  <c r="J33" i="6" s="1"/>
  <c r="I31" i="6"/>
  <c r="J31" i="6" s="1"/>
  <c r="I30" i="6"/>
  <c r="J30" i="6" s="1"/>
  <c r="I28" i="6"/>
  <c r="J28" i="6" s="1"/>
  <c r="I27" i="6"/>
  <c r="J27" i="6" s="1"/>
  <c r="I16" i="6"/>
  <c r="I15" i="6"/>
  <c r="J15" i="6" s="1"/>
  <c r="I13" i="6"/>
  <c r="J13" i="6" s="1"/>
  <c r="I12" i="6"/>
  <c r="J12" i="6" s="1"/>
  <c r="I10" i="6"/>
  <c r="J10" i="6" s="1"/>
  <c r="I9" i="6"/>
  <c r="J9" i="6" s="1"/>
  <c r="Q44" i="6" l="1"/>
  <c r="N44" i="6"/>
  <c r="G44" i="6" l="1"/>
  <c r="K43" i="6"/>
  <c r="K42" i="6"/>
  <c r="K41" i="6"/>
  <c r="F41" i="6"/>
  <c r="K40" i="6"/>
  <c r="K39" i="6"/>
  <c r="K38" i="6"/>
  <c r="F38" i="6"/>
  <c r="K37" i="6"/>
  <c r="K36" i="6"/>
  <c r="K35" i="6"/>
  <c r="F35" i="6"/>
  <c r="K34" i="6"/>
  <c r="K33" i="6"/>
  <c r="K32" i="6"/>
  <c r="F32" i="6"/>
  <c r="K31" i="6"/>
  <c r="K30" i="6"/>
  <c r="K29" i="6"/>
  <c r="F29" i="6"/>
  <c r="K28" i="6"/>
  <c r="K27" i="6"/>
  <c r="K26" i="6"/>
  <c r="F26" i="6"/>
  <c r="K25" i="6"/>
  <c r="K24" i="6"/>
  <c r="K23" i="6"/>
  <c r="F23" i="6"/>
  <c r="K22" i="6"/>
  <c r="K21" i="6"/>
  <c r="K20" i="6"/>
  <c r="F20" i="6"/>
  <c r="K19" i="6"/>
  <c r="K18" i="6"/>
  <c r="K17" i="6"/>
  <c r="F17" i="6"/>
  <c r="K16" i="6"/>
  <c r="K15" i="6"/>
  <c r="K14" i="6"/>
  <c r="F14" i="6"/>
  <c r="K13" i="6"/>
  <c r="K12" i="6"/>
  <c r="K11" i="6"/>
  <c r="F11" i="6"/>
  <c r="K10" i="6"/>
  <c r="K9" i="6"/>
  <c r="K8" i="6"/>
  <c r="F8" i="6"/>
  <c r="F44" i="6" l="1"/>
  <c r="K44" i="6"/>
  <c r="K45" i="5"/>
  <c r="L44" i="5"/>
  <c r="G44" i="5"/>
  <c r="L43" i="5"/>
  <c r="I43" i="5"/>
  <c r="L42" i="5"/>
  <c r="I42" i="5"/>
  <c r="L41" i="5"/>
  <c r="I41" i="5"/>
  <c r="F41" i="5"/>
  <c r="L40" i="5"/>
  <c r="I40" i="5"/>
  <c r="L39" i="5"/>
  <c r="I39" i="5"/>
  <c r="L38" i="5"/>
  <c r="I38" i="5"/>
  <c r="F38" i="5"/>
  <c r="L37" i="5"/>
  <c r="I37" i="5"/>
  <c r="L36" i="5"/>
  <c r="I36" i="5"/>
  <c r="L35" i="5"/>
  <c r="I35" i="5"/>
  <c r="F35" i="5"/>
  <c r="L34" i="5"/>
  <c r="I34" i="5"/>
  <c r="L33" i="5"/>
  <c r="I33" i="5"/>
  <c r="L32" i="5"/>
  <c r="I32" i="5"/>
  <c r="F32" i="5"/>
  <c r="L31" i="5"/>
  <c r="I31" i="5"/>
  <c r="L30" i="5"/>
  <c r="I30" i="5"/>
  <c r="L29" i="5"/>
  <c r="I29" i="5"/>
  <c r="F29" i="5"/>
  <c r="L28" i="5"/>
  <c r="I28" i="5"/>
  <c r="L27" i="5"/>
  <c r="I27" i="5"/>
  <c r="L26" i="5"/>
  <c r="I26" i="5"/>
  <c r="F26" i="5"/>
  <c r="L25" i="5"/>
  <c r="I25" i="5"/>
  <c r="L24" i="5"/>
  <c r="I24" i="5"/>
  <c r="L23" i="5"/>
  <c r="I23" i="5"/>
  <c r="F23" i="5"/>
  <c r="L22" i="5"/>
  <c r="I22" i="5"/>
  <c r="L21" i="5"/>
  <c r="I21" i="5"/>
  <c r="L20" i="5"/>
  <c r="I20" i="5"/>
  <c r="F20" i="5"/>
  <c r="L19" i="5"/>
  <c r="I19" i="5"/>
  <c r="L18" i="5"/>
  <c r="I18" i="5"/>
  <c r="L17" i="5"/>
  <c r="I17" i="5"/>
  <c r="F17" i="5"/>
  <c r="L16" i="5"/>
  <c r="I16" i="5"/>
  <c r="L15" i="5"/>
  <c r="I15" i="5"/>
  <c r="L14" i="5"/>
  <c r="I14" i="5"/>
  <c r="F14" i="5"/>
  <c r="L13" i="5"/>
  <c r="I13" i="5"/>
  <c r="L12" i="5"/>
  <c r="I12" i="5"/>
  <c r="L11" i="5"/>
  <c r="I11" i="5"/>
  <c r="F11" i="5"/>
  <c r="L10" i="5"/>
  <c r="I10" i="5"/>
  <c r="L9" i="5"/>
  <c r="I9" i="5"/>
  <c r="I8" i="5"/>
  <c r="P45" i="6" l="1"/>
  <c r="P46" i="6" s="1"/>
  <c r="I44" i="5"/>
  <c r="L45" i="5"/>
  <c r="F44" i="5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8" i="4"/>
  <c r="G44" i="4"/>
  <c r="I45" i="5" l="1"/>
  <c r="S45" i="4"/>
  <c r="T44" i="4"/>
  <c r="T43" i="4"/>
  <c r="T42" i="4"/>
  <c r="M42" i="4"/>
  <c r="O42" i="4" s="1"/>
  <c r="T41" i="4"/>
  <c r="M41" i="4"/>
  <c r="O41" i="4" s="1"/>
  <c r="L41" i="4"/>
  <c r="F41" i="4"/>
  <c r="T40" i="4"/>
  <c r="T39" i="4"/>
  <c r="M39" i="4"/>
  <c r="O39" i="4" s="1"/>
  <c r="T38" i="4"/>
  <c r="O38" i="4"/>
  <c r="L38" i="4"/>
  <c r="F38" i="4"/>
  <c r="T37" i="4"/>
  <c r="T36" i="4"/>
  <c r="M36" i="4"/>
  <c r="O36" i="4" s="1"/>
  <c r="T35" i="4"/>
  <c r="M35" i="4"/>
  <c r="O35" i="4" s="1"/>
  <c r="L35" i="4"/>
  <c r="F35" i="4"/>
  <c r="T34" i="4"/>
  <c r="T33" i="4"/>
  <c r="M33" i="4"/>
  <c r="O33" i="4" s="1"/>
  <c r="T32" i="4"/>
  <c r="M32" i="4"/>
  <c r="O32" i="4" s="1"/>
  <c r="L32" i="4"/>
  <c r="F32" i="4"/>
  <c r="T31" i="4"/>
  <c r="T30" i="4"/>
  <c r="M30" i="4"/>
  <c r="O30" i="4" s="1"/>
  <c r="T29" i="4"/>
  <c r="M29" i="4"/>
  <c r="O29" i="4" s="1"/>
  <c r="L29" i="4"/>
  <c r="F29" i="4"/>
  <c r="T28" i="4"/>
  <c r="T27" i="4"/>
  <c r="O27" i="4"/>
  <c r="T26" i="4"/>
  <c r="O26" i="4"/>
  <c r="L26" i="4"/>
  <c r="F26" i="4"/>
  <c r="T25" i="4"/>
  <c r="T24" i="4"/>
  <c r="M24" i="4"/>
  <c r="O24" i="4" s="1"/>
  <c r="T23" i="4"/>
  <c r="M23" i="4"/>
  <c r="O23" i="4" s="1"/>
  <c r="L23" i="4"/>
  <c r="F23" i="4"/>
  <c r="T22" i="4"/>
  <c r="T21" i="4"/>
  <c r="O21" i="4"/>
  <c r="T20" i="4"/>
  <c r="O20" i="4"/>
  <c r="L20" i="4"/>
  <c r="F20" i="4"/>
  <c r="T19" i="4"/>
  <c r="T18" i="4"/>
  <c r="M18" i="4"/>
  <c r="O18" i="4" s="1"/>
  <c r="T17" i="4"/>
  <c r="M17" i="4"/>
  <c r="O17" i="4" s="1"/>
  <c r="L17" i="4"/>
  <c r="F17" i="4"/>
  <c r="T16" i="4"/>
  <c r="T15" i="4"/>
  <c r="M15" i="4"/>
  <c r="O15" i="4" s="1"/>
  <c r="T14" i="4"/>
  <c r="O14" i="4"/>
  <c r="L14" i="4"/>
  <c r="F14" i="4"/>
  <c r="T13" i="4"/>
  <c r="T12" i="4"/>
  <c r="M12" i="4"/>
  <c r="O12" i="4" s="1"/>
  <c r="T11" i="4"/>
  <c r="O11" i="4"/>
  <c r="M11" i="4"/>
  <c r="L11" i="4"/>
  <c r="F11" i="4"/>
  <c r="T10" i="4"/>
  <c r="T9" i="4"/>
  <c r="M9" i="4"/>
  <c r="O9" i="4" s="1"/>
  <c r="M8" i="4"/>
  <c r="L21" i="3"/>
  <c r="G44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S45" i="3"/>
  <c r="M8" i="3"/>
  <c r="O8" i="3" s="1"/>
  <c r="M9" i="3"/>
  <c r="O9" i="3" s="1"/>
  <c r="I8" i="3"/>
  <c r="I9" i="3"/>
  <c r="I10" i="3"/>
  <c r="F8" i="3"/>
  <c r="M11" i="3"/>
  <c r="O11" i="3" s="1"/>
  <c r="M12" i="3"/>
  <c r="O12" i="3" s="1"/>
  <c r="I11" i="3"/>
  <c r="I12" i="3"/>
  <c r="I13" i="3"/>
  <c r="F11" i="3"/>
  <c r="L11" i="3"/>
  <c r="M15" i="3"/>
  <c r="O15" i="3" s="1"/>
  <c r="I14" i="3"/>
  <c r="I15" i="3"/>
  <c r="I16" i="3"/>
  <c r="F14" i="3"/>
  <c r="L14" i="3"/>
  <c r="O14" i="3"/>
  <c r="M17" i="3"/>
  <c r="O17" i="3" s="1"/>
  <c r="M18" i="3"/>
  <c r="O18" i="3" s="1"/>
  <c r="I17" i="3"/>
  <c r="I18" i="3"/>
  <c r="I19" i="3"/>
  <c r="F17" i="3"/>
  <c r="L17" i="3"/>
  <c r="M23" i="3"/>
  <c r="O23" i="3" s="1"/>
  <c r="M24" i="3"/>
  <c r="O24" i="3"/>
  <c r="I23" i="3"/>
  <c r="I24" i="3"/>
  <c r="I25" i="3"/>
  <c r="F23" i="3"/>
  <c r="L23" i="3"/>
  <c r="O26" i="3"/>
  <c r="M27" i="3"/>
  <c r="O27" i="3"/>
  <c r="I26" i="3"/>
  <c r="I27" i="3"/>
  <c r="I28" i="3"/>
  <c r="F26" i="3"/>
  <c r="L26" i="3"/>
  <c r="M29" i="3"/>
  <c r="O29" i="3" s="1"/>
  <c r="M30" i="3"/>
  <c r="O30" i="3" s="1"/>
  <c r="I29" i="3"/>
  <c r="I30" i="3"/>
  <c r="I31" i="3"/>
  <c r="F29" i="3"/>
  <c r="L29" i="3"/>
  <c r="M32" i="3"/>
  <c r="O32" i="3" s="1"/>
  <c r="M33" i="3"/>
  <c r="O33" i="3" s="1"/>
  <c r="I32" i="3"/>
  <c r="I33" i="3"/>
  <c r="I34" i="3"/>
  <c r="F32" i="3"/>
  <c r="L32" i="3"/>
  <c r="M35" i="3"/>
  <c r="O35" i="3" s="1"/>
  <c r="M36" i="3"/>
  <c r="O36" i="3" s="1"/>
  <c r="I35" i="3"/>
  <c r="I36" i="3"/>
  <c r="I37" i="3"/>
  <c r="F35" i="3"/>
  <c r="L35" i="3"/>
  <c r="M39" i="3"/>
  <c r="O39" i="3" s="1"/>
  <c r="I38" i="3"/>
  <c r="I39" i="3"/>
  <c r="I40" i="3"/>
  <c r="F38" i="3"/>
  <c r="L38" i="3"/>
  <c r="O38" i="3"/>
  <c r="M41" i="3"/>
  <c r="O41" i="3" s="1"/>
  <c r="M42" i="3"/>
  <c r="O42" i="3" s="1"/>
  <c r="I41" i="3"/>
  <c r="I42" i="3"/>
  <c r="I43" i="3"/>
  <c r="F41" i="3"/>
  <c r="L41" i="3"/>
  <c r="I20" i="3"/>
  <c r="I21" i="3"/>
  <c r="I22" i="3"/>
  <c r="F20" i="3"/>
  <c r="L20" i="3"/>
  <c r="O20" i="3"/>
  <c r="T45" i="3" l="1"/>
  <c r="L44" i="4"/>
  <c r="P8" i="3"/>
  <c r="F44" i="3"/>
  <c r="P20" i="3"/>
  <c r="P11" i="4"/>
  <c r="Q11" i="4" s="1"/>
  <c r="P23" i="3"/>
  <c r="Q23" i="3" s="1"/>
  <c r="M44" i="4"/>
  <c r="T45" i="4"/>
  <c r="P35" i="3"/>
  <c r="Q35" i="3" s="1"/>
  <c r="Q8" i="3"/>
  <c r="M44" i="3"/>
  <c r="P41" i="4"/>
  <c r="Q41" i="4" s="1"/>
  <c r="P35" i="4"/>
  <c r="Q35" i="4" s="1"/>
  <c r="P29" i="4"/>
  <c r="Q29" i="4" s="1"/>
  <c r="P23" i="4"/>
  <c r="Q23" i="4" s="1"/>
  <c r="P20" i="4"/>
  <c r="Q20" i="4" s="1"/>
  <c r="P14" i="4"/>
  <c r="Q14" i="4" s="1"/>
  <c r="I44" i="4"/>
  <c r="P17" i="4"/>
  <c r="Q17" i="4" s="1"/>
  <c r="P26" i="4"/>
  <c r="Q26" i="4" s="1"/>
  <c r="P32" i="4"/>
  <c r="Q32" i="4" s="1"/>
  <c r="P38" i="4"/>
  <c r="Q38" i="4" s="1"/>
  <c r="O8" i="4"/>
  <c r="O44" i="4" s="1"/>
  <c r="F44" i="4"/>
  <c r="O44" i="3"/>
  <c r="P41" i="3"/>
  <c r="Q41" i="3" s="1"/>
  <c r="P38" i="3"/>
  <c r="Q38" i="3" s="1"/>
  <c r="P29" i="3"/>
  <c r="Q29" i="3" s="1"/>
  <c r="Q20" i="3"/>
  <c r="P17" i="3"/>
  <c r="Q17" i="3" s="1"/>
  <c r="P14" i="3"/>
  <c r="Q14" i="3" s="1"/>
  <c r="P26" i="3"/>
  <c r="Q26" i="3" s="1"/>
  <c r="P32" i="3"/>
  <c r="Q32" i="3" s="1"/>
  <c r="I44" i="3"/>
  <c r="L44" i="3"/>
  <c r="P11" i="3"/>
  <c r="Q11" i="3" s="1"/>
  <c r="P8" i="4" l="1"/>
  <c r="P44" i="3"/>
  <c r="Q44" i="3" s="1"/>
  <c r="Q45" i="3" s="1"/>
  <c r="P45" i="3" l="1"/>
  <c r="P44" i="4"/>
  <c r="Q8" i="4"/>
  <c r="P45" i="4" l="1"/>
  <c r="Q44" i="4"/>
  <c r="Q4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  <author>Windows ユーザー</author>
  </authors>
  <commentList>
    <comment ref="D5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平成30年度契約額を採用</t>
        </r>
      </text>
    </comment>
    <comment ref="J5" authorId="0" shapeId="0" xr:uid="{00000000-0006-0000-04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九電公表単価の0.9掛けを採用（済）</t>
        </r>
      </text>
    </comment>
    <comment ref="M5" authorId="0" shapeId="0" xr:uid="{00000000-0006-0000-04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平成３０年度
契約単価採用
（済）</t>
        </r>
      </text>
    </comment>
    <comment ref="P5" authorId="0" shapeId="0" xr:uid="{00000000-0006-0000-04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平成３０年度
契約単価採用（済）</t>
        </r>
      </text>
    </comment>
    <comment ref="G6" authorId="0" shapeId="0" xr:uid="{00000000-0006-0000-04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可能であれば、Ｈ２７年度～Ｈ３０年度実績
（H31年１月～３月は、H30年1月～３月の実績を採用）の
平均値を採用した（予算編成時との整合性）。</t>
        </r>
      </text>
    </comment>
    <comment ref="G32" authorId="1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H30d実績
</t>
        </r>
      </text>
    </comment>
    <comment ref="P45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（税抜）×1.08した時に、金額が正しく合うか確認すること。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1B6178D8-AC46-4901-BA68-5BF5B67A5CD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41AE5DBB-F2A0-44D5-8657-206B247042A6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C8BB792D-64A9-4800-831F-3E455380B2C5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D99D5495-F867-41A0-8E8D-FC14625CC514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00000000-0006-0000-05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J5" authorId="0" shapeId="0" xr:uid="{00000000-0006-0000-05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九電公表単価の0.9掛けを採用（済）</t>
        </r>
      </text>
    </comment>
    <comment ref="M5" authorId="0" shapeId="0" xr:uid="{00000000-0006-0000-05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00000000-0006-0000-05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00000000-0006-0000-05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  <comment ref="P45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（税抜）×1.08した時に、金額が正しく合うか確認すること。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00000000-0006-0000-06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J5" authorId="0" shapeId="0" xr:uid="{00000000-0006-0000-06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九電公表単価
を採用（済）</t>
        </r>
      </text>
    </comment>
    <comment ref="M5" authorId="0" shapeId="0" xr:uid="{00000000-0006-0000-06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00000000-0006-0000-06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00000000-0006-0000-06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00000000-0006-0000-07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00000000-0006-0000-07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00000000-0006-0000-07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00000000-0006-0000-08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00000000-0006-0000-08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00000000-0006-0000-08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00000000-0006-0000-08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00000000-0006-0000-09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00000000-0006-0000-09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00000000-0006-0000-09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00000000-0006-0000-09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59F09330-AA1B-454B-A34C-BE1E4F8D9D61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2B63B9D9-F3EE-41F7-9A58-2366E15C2AE9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9D2DD4BB-EEDB-472F-B975-3D39160D84A6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A5A8DC97-BAF8-4214-B61A-2825A0BEF98F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7B8231B1-CBD2-47F2-B5CB-8A445EDFEFC3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F2E6A3BA-623A-4700-8E7E-EBAD1FB81ADC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71B8572A-03EE-44A6-951E-3DAD1FF629FA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E55D07FF-123D-403A-9EE3-E18C15E537BD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北九州市病院局</author>
  </authors>
  <commentList>
    <comment ref="D5" authorId="0" shapeId="0" xr:uid="{440193AC-6720-4AE4-8450-20D5DA0759FB}">
      <text>
        <r>
          <rPr>
            <b/>
            <sz val="11"/>
            <color indexed="81"/>
            <rFont val="ＭＳ Ｐゴシック"/>
            <family val="3"/>
            <charset val="128"/>
          </rPr>
          <t>R4年度契約額を採用</t>
        </r>
      </text>
    </comment>
    <comment ref="M5" authorId="0" shapeId="0" xr:uid="{963DA12E-F67A-4A0F-A848-100C22BDF3F9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
（済）</t>
        </r>
      </text>
    </comment>
    <comment ref="P5" authorId="0" shapeId="0" xr:uid="{1000C684-2190-46EE-BD67-A01BEB501960}">
      <text>
        <r>
          <rPr>
            <b/>
            <sz val="11"/>
            <color indexed="81"/>
            <rFont val="ＭＳ Ｐゴシック"/>
            <family val="3"/>
            <charset val="128"/>
          </rPr>
          <t>R4年度
契約単価採用（済）</t>
        </r>
      </text>
    </comment>
    <comment ref="G6" authorId="0" shapeId="0" xr:uid="{61800F0F-86EE-48A1-84A5-68B4D6CE5FB9}">
      <text>
        <r>
          <rPr>
            <b/>
            <sz val="11"/>
            <color indexed="81"/>
            <rFont val="ＭＳ Ｐゴシック"/>
            <family val="3"/>
            <charset val="128"/>
          </rPr>
          <t>Ｈ31年度～R4年度実績の平均値を採用。</t>
        </r>
      </text>
    </comment>
  </commentList>
</comments>
</file>

<file path=xl/sharedStrings.xml><?xml version="1.0" encoding="utf-8"?>
<sst xmlns="http://schemas.openxmlformats.org/spreadsheetml/2006/main" count="792" uniqueCount="102">
  <si>
    <t>区分</t>
    <rPh sb="0" eb="2">
      <t>クブン</t>
    </rPh>
    <phoneticPr fontId="2"/>
  </si>
  <si>
    <t>常用</t>
    <rPh sb="0" eb="2">
      <t>ジョウヨウ</t>
    </rPh>
    <phoneticPr fontId="2"/>
  </si>
  <si>
    <t>自家発電機</t>
    <rPh sb="0" eb="2">
      <t>ジカ</t>
    </rPh>
    <rPh sb="2" eb="5">
      <t>ハツデンキ</t>
    </rPh>
    <phoneticPr fontId="2"/>
  </si>
  <si>
    <t>基本料金</t>
    <rPh sb="0" eb="2">
      <t>キホン</t>
    </rPh>
    <rPh sb="2" eb="4">
      <t>リョウキン</t>
    </rPh>
    <phoneticPr fontId="2"/>
  </si>
  <si>
    <t>契約電力</t>
    <rPh sb="0" eb="2">
      <t>ケイヤク</t>
    </rPh>
    <rPh sb="2" eb="4">
      <t>デンリョク</t>
    </rPh>
    <phoneticPr fontId="2"/>
  </si>
  <si>
    <t>月間使用量</t>
    <rPh sb="0" eb="2">
      <t>ゲッカン</t>
    </rPh>
    <rPh sb="2" eb="5">
      <t>シヨウリョウ</t>
    </rPh>
    <phoneticPr fontId="2"/>
  </si>
  <si>
    <t>単価</t>
    <rPh sb="0" eb="2">
      <t>タンカ</t>
    </rPh>
    <phoneticPr fontId="2"/>
  </si>
  <si>
    <t>基本単価　　　　１ｋＷ当たり　　　上段：使用あり　下段：使用なし</t>
    <rPh sb="0" eb="2">
      <t>キホン</t>
    </rPh>
    <rPh sb="2" eb="4">
      <t>タンカ</t>
    </rPh>
    <rPh sb="11" eb="12">
      <t>ア</t>
    </rPh>
    <rPh sb="17" eb="19">
      <t>ジョウダン</t>
    </rPh>
    <rPh sb="20" eb="22">
      <t>シヨウ</t>
    </rPh>
    <rPh sb="25" eb="27">
      <t>ゲダン</t>
    </rPh>
    <rPh sb="28" eb="30">
      <t>シヨウ</t>
    </rPh>
    <phoneticPr fontId="2"/>
  </si>
  <si>
    <t>上段：ピーク時間　　中段：昼間時間　　下段：夜間時間</t>
    <rPh sb="0" eb="2">
      <t>ジョウダン</t>
    </rPh>
    <rPh sb="6" eb="8">
      <t>ジカン</t>
    </rPh>
    <rPh sb="10" eb="12">
      <t>チュウダン</t>
    </rPh>
    <rPh sb="13" eb="15">
      <t>ヒルマ</t>
    </rPh>
    <rPh sb="15" eb="17">
      <t>ジカン</t>
    </rPh>
    <rPh sb="19" eb="21">
      <t>ゲダン</t>
    </rPh>
    <rPh sb="22" eb="24">
      <t>ヤカン</t>
    </rPh>
    <rPh sb="24" eb="26">
      <t>ジカン</t>
    </rPh>
    <phoneticPr fontId="2"/>
  </si>
  <si>
    <t>上段：定期補修　　下段：事故</t>
    <rPh sb="0" eb="2">
      <t>ジョウダン</t>
    </rPh>
    <rPh sb="3" eb="5">
      <t>テイキ</t>
    </rPh>
    <rPh sb="5" eb="7">
      <t>ホシュウ</t>
    </rPh>
    <rPh sb="9" eb="11">
      <t>ゲダン</t>
    </rPh>
    <rPh sb="12" eb="14">
      <t>ジコ</t>
    </rPh>
    <phoneticPr fontId="2"/>
  </si>
  <si>
    <t>円</t>
    <rPh sb="0" eb="1">
      <t>エン</t>
    </rPh>
    <phoneticPr fontId="2"/>
  </si>
  <si>
    <t>７　月</t>
    <rPh sb="2" eb="3">
      <t>ツキ</t>
    </rPh>
    <phoneticPr fontId="2"/>
  </si>
  <si>
    <t>８　月</t>
    <rPh sb="2" eb="3">
      <t>ツキ</t>
    </rPh>
    <phoneticPr fontId="2"/>
  </si>
  <si>
    <t>９　月</t>
    <rPh sb="2" eb="3">
      <t>ツキ</t>
    </rPh>
    <phoneticPr fontId="2"/>
  </si>
  <si>
    <t>１０　月</t>
    <rPh sb="3" eb="4">
      <t>ツキ</t>
    </rPh>
    <phoneticPr fontId="2"/>
  </si>
  <si>
    <t>１１　月</t>
    <rPh sb="3" eb="4">
      <t>ツキ</t>
    </rPh>
    <phoneticPr fontId="2"/>
  </si>
  <si>
    <t>１２　月</t>
    <rPh sb="3" eb="4">
      <t>ツキ</t>
    </rPh>
    <phoneticPr fontId="2"/>
  </si>
  <si>
    <t>合計</t>
    <rPh sb="0" eb="2">
      <t>ゴウケイ</t>
    </rPh>
    <phoneticPr fontId="2"/>
  </si>
  <si>
    <t>電力量料金</t>
    <phoneticPr fontId="2"/>
  </si>
  <si>
    <t>ｋＷ</t>
    <phoneticPr fontId="2"/>
  </si>
  <si>
    <t>ｋＷｈ</t>
    <phoneticPr fontId="2"/>
  </si>
  <si>
    <t>ｋＷ</t>
    <phoneticPr fontId="2"/>
  </si>
  <si>
    <t>電気料金積算内訳（市立医療センター）</t>
    <rPh sb="0" eb="2">
      <t>デンキ</t>
    </rPh>
    <rPh sb="2" eb="4">
      <t>リョウキン</t>
    </rPh>
    <rPh sb="4" eb="6">
      <t>セキサン</t>
    </rPh>
    <rPh sb="6" eb="8">
      <t>ウチワケ</t>
    </rPh>
    <rPh sb="9" eb="11">
      <t>シリツ</t>
    </rPh>
    <rPh sb="11" eb="13">
      <t>イリョウ</t>
    </rPh>
    <phoneticPr fontId="2"/>
  </si>
  <si>
    <t>４　月</t>
    <rPh sb="2" eb="3">
      <t>ツキ</t>
    </rPh>
    <phoneticPr fontId="2"/>
  </si>
  <si>
    <t>５　月</t>
    <rPh sb="2" eb="3">
      <t>ツキ</t>
    </rPh>
    <phoneticPr fontId="2"/>
  </si>
  <si>
    <t>６　月</t>
    <rPh sb="2" eb="3">
      <t>ツキ</t>
    </rPh>
    <phoneticPr fontId="2"/>
  </si>
  <si>
    <t>月額（２）</t>
    <rPh sb="0" eb="2">
      <t>ゲツガク</t>
    </rPh>
    <phoneticPr fontId="2"/>
  </si>
  <si>
    <t>月額（１）</t>
    <rPh sb="0" eb="2">
      <t>ゲツガク</t>
    </rPh>
    <phoneticPr fontId="2"/>
  </si>
  <si>
    <t>月額（４）</t>
    <rPh sb="0" eb="2">
      <t>ゲツガク</t>
    </rPh>
    <phoneticPr fontId="2"/>
  </si>
  <si>
    <t>月額（５）</t>
    <rPh sb="0" eb="2">
      <t>ゲツガク</t>
    </rPh>
    <phoneticPr fontId="2"/>
  </si>
  <si>
    <t>円【税込】</t>
    <rPh sb="0" eb="1">
      <t>エン</t>
    </rPh>
    <phoneticPr fontId="2"/>
  </si>
  <si>
    <t>円【税抜】</t>
    <rPh sb="0" eb="1">
      <t>エン</t>
    </rPh>
    <phoneticPr fontId="2"/>
  </si>
  <si>
    <r>
      <t>電気料金　　　　　</t>
    </r>
    <r>
      <rPr>
        <sz val="9"/>
        <rFont val="ＭＳ Ｐゴシック"/>
        <family val="3"/>
        <charset val="128"/>
      </rPr>
      <t>　（１）＋（２）＋（４）＋（５）－（３）</t>
    </r>
    <rPh sb="0" eb="2">
      <t>デンキ</t>
    </rPh>
    <rPh sb="2" eb="4">
      <t>リョウキン</t>
    </rPh>
    <phoneticPr fontId="2"/>
  </si>
  <si>
    <t>力率修正率</t>
    <rPh sb="0" eb="1">
      <t>リキ</t>
    </rPh>
    <rPh sb="1" eb="2">
      <t>リツ</t>
    </rPh>
    <rPh sb="2" eb="4">
      <t>シュウセイ</t>
    </rPh>
    <rPh sb="4" eb="5">
      <t>リツ</t>
    </rPh>
    <phoneticPr fontId="2"/>
  </si>
  <si>
    <t>基本単価
１ｋＷ当たり</t>
    <rPh sb="0" eb="2">
      <t>キホン</t>
    </rPh>
    <rPh sb="2" eb="4">
      <t>タンカ</t>
    </rPh>
    <rPh sb="8" eb="9">
      <t>ア</t>
    </rPh>
    <phoneticPr fontId="2"/>
  </si>
  <si>
    <t>１月</t>
    <phoneticPr fontId="2"/>
  </si>
  <si>
    <t>２月</t>
    <phoneticPr fontId="2"/>
  </si>
  <si>
    <t>３月</t>
    <phoneticPr fontId="2"/>
  </si>
  <si>
    <t>積算価格</t>
    <rPh sb="0" eb="2">
      <t>セキサン</t>
    </rPh>
    <rPh sb="2" eb="4">
      <t>カカク</t>
    </rPh>
    <phoneticPr fontId="2"/>
  </si>
  <si>
    <t>平成　２7年</t>
    <rPh sb="0" eb="2">
      <t>ヘイセイ</t>
    </rPh>
    <rPh sb="5" eb="6">
      <t>ネン</t>
    </rPh>
    <phoneticPr fontId="2"/>
  </si>
  <si>
    <t>平成　２8年</t>
    <phoneticPr fontId="2"/>
  </si>
  <si>
    <t>※　月間使用電力量は、Ｈ27年2月～Ｈ28年1月の実績を基に算出している。</t>
    <rPh sb="2" eb="4">
      <t>ゲッカン</t>
    </rPh>
    <rPh sb="4" eb="6">
      <t>シヨウ</t>
    </rPh>
    <rPh sb="6" eb="8">
      <t>デンリョク</t>
    </rPh>
    <rPh sb="8" eb="9">
      <t>リョウ</t>
    </rPh>
    <rPh sb="14" eb="15">
      <t>ネン</t>
    </rPh>
    <rPh sb="16" eb="17">
      <t>ガツ</t>
    </rPh>
    <rPh sb="21" eb="22">
      <t>ネン</t>
    </rPh>
    <rPh sb="23" eb="24">
      <t>ガツ</t>
    </rPh>
    <rPh sb="25" eb="27">
      <t>ジッセキ</t>
    </rPh>
    <rPh sb="28" eb="29">
      <t>モト</t>
    </rPh>
    <rPh sb="30" eb="32">
      <t>サンシュツ</t>
    </rPh>
    <phoneticPr fontId="2"/>
  </si>
  <si>
    <t>　　但し、温冷配膳車の運用開始及び新サーバーの導入等を考慮し平成27年度比7％の増加を見込んだ</t>
    <rPh sb="2" eb="3">
      <t>タダ</t>
    </rPh>
    <rPh sb="5" eb="6">
      <t>オン</t>
    </rPh>
    <rPh sb="6" eb="7">
      <t>レイ</t>
    </rPh>
    <rPh sb="7" eb="9">
      <t>ハイゼン</t>
    </rPh>
    <rPh sb="9" eb="10">
      <t>シャ</t>
    </rPh>
    <rPh sb="11" eb="13">
      <t>ウンヨウ</t>
    </rPh>
    <rPh sb="13" eb="15">
      <t>カイシ</t>
    </rPh>
    <rPh sb="15" eb="16">
      <t>オヨ</t>
    </rPh>
    <rPh sb="17" eb="18">
      <t>シン</t>
    </rPh>
    <rPh sb="23" eb="25">
      <t>ドウニュウ</t>
    </rPh>
    <rPh sb="25" eb="26">
      <t>トウ</t>
    </rPh>
    <rPh sb="27" eb="29">
      <t>コウリョ</t>
    </rPh>
    <rPh sb="30" eb="32">
      <t>ヘイセイ</t>
    </rPh>
    <rPh sb="34" eb="36">
      <t>ネンド</t>
    </rPh>
    <rPh sb="36" eb="37">
      <t>ヒ</t>
    </rPh>
    <rPh sb="40" eb="42">
      <t>ゾウカ</t>
    </rPh>
    <rPh sb="43" eb="45">
      <t>ミコ</t>
    </rPh>
    <phoneticPr fontId="2"/>
  </si>
  <si>
    <t>※　月間使用電力量は、H27年2月～H28年1月の実績を基に算出している。</t>
    <rPh sb="2" eb="4">
      <t>ゲッカン</t>
    </rPh>
    <rPh sb="4" eb="6">
      <t>シヨウ</t>
    </rPh>
    <rPh sb="6" eb="8">
      <t>デンリョク</t>
    </rPh>
    <rPh sb="8" eb="9">
      <t>リョウ</t>
    </rPh>
    <rPh sb="14" eb="15">
      <t>ネン</t>
    </rPh>
    <rPh sb="16" eb="17">
      <t>ガツ</t>
    </rPh>
    <rPh sb="21" eb="22">
      <t>ネン</t>
    </rPh>
    <rPh sb="23" eb="24">
      <t>ガツ</t>
    </rPh>
    <rPh sb="25" eb="27">
      <t>ジッセキ</t>
    </rPh>
    <rPh sb="28" eb="29">
      <t>モト</t>
    </rPh>
    <rPh sb="30" eb="32">
      <t>サンシュツ</t>
    </rPh>
    <phoneticPr fontId="2"/>
  </si>
  <si>
    <t>　　但し、温冷配膳車の運用開始及び新サーバーの導入等を考慮し平成27年度比3％の増加を見込んだ</t>
    <rPh sb="2" eb="3">
      <t>タダ</t>
    </rPh>
    <rPh sb="5" eb="6">
      <t>オン</t>
    </rPh>
    <rPh sb="6" eb="7">
      <t>レイ</t>
    </rPh>
    <rPh sb="7" eb="9">
      <t>ハイゼン</t>
    </rPh>
    <rPh sb="9" eb="10">
      <t>シャ</t>
    </rPh>
    <rPh sb="11" eb="13">
      <t>ウンヨウ</t>
    </rPh>
    <rPh sb="13" eb="15">
      <t>カイシ</t>
    </rPh>
    <rPh sb="15" eb="16">
      <t>オヨ</t>
    </rPh>
    <rPh sb="17" eb="18">
      <t>シン</t>
    </rPh>
    <rPh sb="23" eb="25">
      <t>ドウニュウ</t>
    </rPh>
    <rPh sb="25" eb="26">
      <t>トウ</t>
    </rPh>
    <rPh sb="27" eb="29">
      <t>コウリョ</t>
    </rPh>
    <rPh sb="30" eb="32">
      <t>ヘイセイ</t>
    </rPh>
    <rPh sb="34" eb="36">
      <t>ネンド</t>
    </rPh>
    <rPh sb="36" eb="37">
      <t>ヒ</t>
    </rPh>
    <rPh sb="40" eb="42">
      <t>ゾウカ</t>
    </rPh>
    <rPh sb="43" eb="45">
      <t>ミコ</t>
    </rPh>
    <phoneticPr fontId="2"/>
  </si>
  <si>
    <t>平成　28年</t>
    <rPh sb="0" eb="2">
      <t>ヘイセイ</t>
    </rPh>
    <rPh sb="5" eb="6">
      <t>ネン</t>
    </rPh>
    <phoneticPr fontId="2"/>
  </si>
  <si>
    <t>平成　29年</t>
    <phoneticPr fontId="2"/>
  </si>
  <si>
    <t>※　月間使用電力量は、H28年4月～H29年1月、H28年2～3月の実績を基に算出している。</t>
    <rPh sb="2" eb="4">
      <t>ゲッカン</t>
    </rPh>
    <rPh sb="4" eb="6">
      <t>シヨウ</t>
    </rPh>
    <rPh sb="6" eb="8">
      <t>デンリョク</t>
    </rPh>
    <rPh sb="8" eb="9">
      <t>リョウ</t>
    </rPh>
    <rPh sb="14" eb="15">
      <t>ネン</t>
    </rPh>
    <rPh sb="16" eb="17">
      <t>ガツ</t>
    </rPh>
    <rPh sb="21" eb="22">
      <t>ネン</t>
    </rPh>
    <rPh sb="23" eb="24">
      <t>ガツ</t>
    </rPh>
    <rPh sb="28" eb="29">
      <t>ネン</t>
    </rPh>
    <rPh sb="32" eb="33">
      <t>ガツ</t>
    </rPh>
    <rPh sb="34" eb="36">
      <t>ジッセキ</t>
    </rPh>
    <rPh sb="37" eb="38">
      <t>モト</t>
    </rPh>
    <rPh sb="39" eb="41">
      <t>サンシュツ</t>
    </rPh>
    <phoneticPr fontId="2"/>
  </si>
  <si>
    <t>計</t>
    <rPh sb="0" eb="1">
      <t>ケイ</t>
    </rPh>
    <phoneticPr fontId="2"/>
  </si>
  <si>
    <t>合　　計</t>
    <rPh sb="0" eb="1">
      <t>ア</t>
    </rPh>
    <rPh sb="3" eb="4">
      <t>ケイ</t>
    </rPh>
    <phoneticPr fontId="2"/>
  </si>
  <si>
    <t>平成30年</t>
    <rPh sb="0" eb="2">
      <t>ヘイセイ</t>
    </rPh>
    <rPh sb="4" eb="5">
      <t>ネン</t>
    </rPh>
    <phoneticPr fontId="2"/>
  </si>
  <si>
    <t>平成31年</t>
    <phoneticPr fontId="2"/>
  </si>
  <si>
    <t>現行単価</t>
    <rPh sb="0" eb="2">
      <t>ゲンコウ</t>
    </rPh>
    <rPh sb="2" eb="4">
      <t>タンカ</t>
    </rPh>
    <phoneticPr fontId="2"/>
  </si>
  <si>
    <t>予定
単価</t>
    <rPh sb="0" eb="2">
      <t>ヨテイ</t>
    </rPh>
    <rPh sb="3" eb="5">
      <t>タンカ</t>
    </rPh>
    <phoneticPr fontId="2"/>
  </si>
  <si>
    <t>総計（税込）</t>
    <rPh sb="0" eb="2">
      <t>ソウケイ</t>
    </rPh>
    <rPh sb="3" eb="5">
      <t>ゼイコミ</t>
    </rPh>
    <phoneticPr fontId="2"/>
  </si>
  <si>
    <t>※単価上昇率は、本年度九電単価を昨年度九電単価で除したもの。</t>
    <rPh sb="1" eb="3">
      <t>タンカ</t>
    </rPh>
    <rPh sb="3" eb="5">
      <t>ジョウショウ</t>
    </rPh>
    <rPh sb="5" eb="6">
      <t>リツ</t>
    </rPh>
    <rPh sb="8" eb="11">
      <t>ホンネンド</t>
    </rPh>
    <rPh sb="11" eb="13">
      <t>キュウデン</t>
    </rPh>
    <rPh sb="13" eb="15">
      <t>タンカ</t>
    </rPh>
    <rPh sb="16" eb="19">
      <t>サクネンド</t>
    </rPh>
    <rPh sb="19" eb="21">
      <t>キュウデン</t>
    </rPh>
    <rPh sb="21" eb="23">
      <t>タンカ</t>
    </rPh>
    <rPh sb="24" eb="25">
      <t>ジョ</t>
    </rPh>
    <phoneticPr fontId="2"/>
  </si>
  <si>
    <t>単価
上昇率※</t>
    <rPh sb="0" eb="2">
      <t>タンカ</t>
    </rPh>
    <rPh sb="3" eb="5">
      <t>ジョウショウ</t>
    </rPh>
    <rPh sb="5" eb="6">
      <t>リツ</t>
    </rPh>
    <phoneticPr fontId="2"/>
  </si>
  <si>
    <t>常時契約電力</t>
    <rPh sb="0" eb="2">
      <t>ジョウジ</t>
    </rPh>
    <rPh sb="2" eb="4">
      <t>ケイヤク</t>
    </rPh>
    <rPh sb="4" eb="6">
      <t>デンリョク</t>
    </rPh>
    <phoneticPr fontId="2"/>
  </si>
  <si>
    <t>自家発補給電力</t>
    <rPh sb="0" eb="2">
      <t>ジカ</t>
    </rPh>
    <rPh sb="3" eb="5">
      <t>ホキュウ</t>
    </rPh>
    <rPh sb="5" eb="7">
      <t>デンリョク</t>
    </rPh>
    <phoneticPr fontId="2"/>
  </si>
  <si>
    <t>総計（税抜）</t>
    <rPh sb="0" eb="2">
      <t>ソウケイ</t>
    </rPh>
    <rPh sb="3" eb="5">
      <t>ゼイヌキ</t>
    </rPh>
    <phoneticPr fontId="2"/>
  </si>
  <si>
    <t>平成31年</t>
    <rPh sb="0" eb="2">
      <t>ヘイセイ</t>
    </rPh>
    <rPh sb="4" eb="5">
      <t>ネン</t>
    </rPh>
    <phoneticPr fontId="2"/>
  </si>
  <si>
    <t>平成32年</t>
    <phoneticPr fontId="2"/>
  </si>
  <si>
    <t xml:space="preserve">月額（４）
</t>
    <rPh sb="0" eb="2">
      <t>ゲツガク</t>
    </rPh>
    <phoneticPr fontId="2"/>
  </si>
  <si>
    <t>平成29年</t>
    <rPh sb="0" eb="2">
      <t>ヘイセイ</t>
    </rPh>
    <rPh sb="4" eb="5">
      <t>ネン</t>
    </rPh>
    <phoneticPr fontId="2"/>
  </si>
  <si>
    <t>平成30年</t>
    <phoneticPr fontId="2"/>
  </si>
  <si>
    <t>①基本単価
１ｋＷ当たり</t>
    <rPh sb="1" eb="3">
      <t>キホン</t>
    </rPh>
    <rPh sb="3" eb="5">
      <t>タンカ</t>
    </rPh>
    <rPh sb="9" eb="10">
      <t>ア</t>
    </rPh>
    <phoneticPr fontId="2"/>
  </si>
  <si>
    <t>②月間使用量</t>
    <rPh sb="1" eb="3">
      <t>ゲッカン</t>
    </rPh>
    <rPh sb="3" eb="6">
      <t>シヨウリョウ</t>
    </rPh>
    <phoneticPr fontId="2"/>
  </si>
  <si>
    <t>③予定単価</t>
    <rPh sb="1" eb="3">
      <t>ヨテイ</t>
    </rPh>
    <rPh sb="3" eb="5">
      <t>タンカ</t>
    </rPh>
    <phoneticPr fontId="2"/>
  </si>
  <si>
    <t>④基本単価（１ｋＷ当たり）　上段：使用あり　
下段：使用なし</t>
    <rPh sb="1" eb="3">
      <t>キホン</t>
    </rPh>
    <rPh sb="3" eb="5">
      <t>タンカ</t>
    </rPh>
    <rPh sb="9" eb="10">
      <t>ア</t>
    </rPh>
    <rPh sb="14" eb="16">
      <t>ジョウダン</t>
    </rPh>
    <rPh sb="17" eb="19">
      <t>シヨウ</t>
    </rPh>
    <rPh sb="23" eb="25">
      <t>ゲダン</t>
    </rPh>
    <rPh sb="26" eb="28">
      <t>シヨウ</t>
    </rPh>
    <phoneticPr fontId="2"/>
  </si>
  <si>
    <t>④平成30年度の契約単価を採用</t>
    <rPh sb="1" eb="3">
      <t>ヘイセイ</t>
    </rPh>
    <rPh sb="5" eb="7">
      <t>ネンド</t>
    </rPh>
    <rPh sb="8" eb="10">
      <t>ケイヤク</t>
    </rPh>
    <rPh sb="10" eb="12">
      <t>タンカ</t>
    </rPh>
    <rPh sb="13" eb="15">
      <t>サイヨウ</t>
    </rPh>
    <phoneticPr fontId="2"/>
  </si>
  <si>
    <t>②Ｈ27年度～Ｈ30年度実績（H31年１月～３月は、H30年1月～３月の実績を採用）の平均値を採用</t>
    <phoneticPr fontId="2"/>
  </si>
  <si>
    <t>⑤予定単価</t>
    <rPh sb="1" eb="3">
      <t>ヨテイ</t>
    </rPh>
    <rPh sb="3" eb="5">
      <t>タンカ</t>
    </rPh>
    <phoneticPr fontId="2"/>
  </si>
  <si>
    <t>⑤平成30年度の契約単価を採用</t>
    <phoneticPr fontId="2"/>
  </si>
  <si>
    <t>①平成30年度の契約単価を採用</t>
    <phoneticPr fontId="2"/>
  </si>
  <si>
    <t>③九州電力㈱の公表単価に査定率0.9を乗じたものを採用</t>
    <rPh sb="12" eb="14">
      <t>サテイ</t>
    </rPh>
    <rPh sb="14" eb="15">
      <t>リツ</t>
    </rPh>
    <rPh sb="19" eb="20">
      <t>ジョウ</t>
    </rPh>
    <phoneticPr fontId="2"/>
  </si>
  <si>
    <t>①平成31年度の契約単価を採用</t>
    <phoneticPr fontId="2"/>
  </si>
  <si>
    <t>３年間（税込・予定価格）</t>
    <rPh sb="1" eb="3">
      <t>ネンカン</t>
    </rPh>
    <rPh sb="4" eb="6">
      <t>ゼイコ</t>
    </rPh>
    <rPh sb="7" eb="9">
      <t>ヨテイ</t>
    </rPh>
    <rPh sb="9" eb="11">
      <t>カカク</t>
    </rPh>
    <phoneticPr fontId="2"/>
  </si>
  <si>
    <t>３年間（税抜）</t>
    <rPh sb="1" eb="3">
      <t>ネンカン</t>
    </rPh>
    <rPh sb="4" eb="6">
      <t>ゼイヌキ</t>
    </rPh>
    <phoneticPr fontId="2"/>
  </si>
  <si>
    <t>R
５
～
R
７
年
度
共
通</t>
    <rPh sb="10" eb="11">
      <t>ネン</t>
    </rPh>
    <rPh sb="12" eb="13">
      <t>ド</t>
    </rPh>
    <rPh sb="14" eb="15">
      <t>トモ</t>
    </rPh>
    <rPh sb="16" eb="17">
      <t>ツウ</t>
    </rPh>
    <phoneticPr fontId="2"/>
  </si>
  <si>
    <t>②H31年度～R4年度実績の平均値を採用</t>
    <phoneticPr fontId="2"/>
  </si>
  <si>
    <t>④R4年度の単価を採用</t>
    <rPh sb="3" eb="5">
      <t>ネンド</t>
    </rPh>
    <rPh sb="6" eb="8">
      <t>タンカ</t>
    </rPh>
    <rPh sb="9" eb="11">
      <t>サイヨウ</t>
    </rPh>
    <phoneticPr fontId="2"/>
  </si>
  <si>
    <t>⑤R4年度の単価を採用</t>
    <phoneticPr fontId="2"/>
  </si>
  <si>
    <t>①九州電力（株）の業務用季時別電力A基本料金（R5.1.25時点）を採用</t>
    <rPh sb="1" eb="5">
      <t>キュウシュウデンリョク</t>
    </rPh>
    <rPh sb="5" eb="8">
      <t>カブ</t>
    </rPh>
    <rPh sb="9" eb="12">
      <t>ギョウムヨウ</t>
    </rPh>
    <rPh sb="12" eb="13">
      <t>キ</t>
    </rPh>
    <rPh sb="13" eb="14">
      <t>ジ</t>
    </rPh>
    <rPh sb="14" eb="15">
      <t>ベツ</t>
    </rPh>
    <rPh sb="15" eb="17">
      <t>デンリョク</t>
    </rPh>
    <rPh sb="18" eb="22">
      <t>キホンリョウキン</t>
    </rPh>
    <rPh sb="30" eb="32">
      <t>ジテン</t>
    </rPh>
    <rPh sb="34" eb="36">
      <t>サイヨウ</t>
    </rPh>
    <phoneticPr fontId="2"/>
  </si>
  <si>
    <t>③九州電力（株）の業務用季時別電力A単価（R5.1.25時点）を採用</t>
    <rPh sb="5" eb="8">
      <t>カブ</t>
    </rPh>
    <rPh sb="9" eb="12">
      <t>ギョウムヨウ</t>
    </rPh>
    <rPh sb="12" eb="13">
      <t>キ</t>
    </rPh>
    <rPh sb="13" eb="14">
      <t>ジ</t>
    </rPh>
    <rPh sb="14" eb="15">
      <t>ベツ</t>
    </rPh>
    <rPh sb="15" eb="17">
      <t>デンリョク</t>
    </rPh>
    <rPh sb="18" eb="20">
      <t>タンカ</t>
    </rPh>
    <rPh sb="28" eb="30">
      <t>ジテン</t>
    </rPh>
    <rPh sb="32" eb="34">
      <t>サイヨウ</t>
    </rPh>
    <phoneticPr fontId="2"/>
  </si>
  <si>
    <t>⑤R4年度の契約単価を採用</t>
    <rPh sb="6" eb="8">
      <t>ケイヤク</t>
    </rPh>
    <phoneticPr fontId="2"/>
  </si>
  <si>
    <t>月額（３）</t>
    <rPh sb="0" eb="2">
      <t>ゲツガク</t>
    </rPh>
    <phoneticPr fontId="2"/>
  </si>
  <si>
    <t>④R１年度の契約単価を採用</t>
    <rPh sb="3" eb="5">
      <t>ネンド</t>
    </rPh>
    <rPh sb="6" eb="8">
      <t>ケイヤク</t>
    </rPh>
    <rPh sb="8" eb="10">
      <t>タンカ</t>
    </rPh>
    <rPh sb="11" eb="13">
      <t>サイヨウ</t>
    </rPh>
    <phoneticPr fontId="2"/>
  </si>
  <si>
    <t xml:space="preserve">R
５
年
度
</t>
    <rPh sb="4" eb="5">
      <t>ネン</t>
    </rPh>
    <rPh sb="6" eb="7">
      <t>ド</t>
    </rPh>
    <phoneticPr fontId="2"/>
  </si>
  <si>
    <t>総計（税抜・予定価格）</t>
    <rPh sb="0" eb="2">
      <t>ソウケイ</t>
    </rPh>
    <rPh sb="3" eb="5">
      <t>ゼイヌキ</t>
    </rPh>
    <rPh sb="6" eb="10">
      <t>ヨテイカカク</t>
    </rPh>
    <phoneticPr fontId="2"/>
  </si>
  <si>
    <t>②R4年度見込を採用</t>
    <rPh sb="5" eb="7">
      <t>ミコ</t>
    </rPh>
    <phoneticPr fontId="2"/>
  </si>
  <si>
    <t>①令和5年度九州電力契約金額を採用</t>
    <rPh sb="1" eb="3">
      <t>レイワ</t>
    </rPh>
    <rPh sb="4" eb="6">
      <t>ネンド</t>
    </rPh>
    <rPh sb="6" eb="10">
      <t>キュウシュウデンリョク</t>
    </rPh>
    <rPh sb="10" eb="14">
      <t>ケイヤクキンガク</t>
    </rPh>
    <rPh sb="15" eb="17">
      <t>サイヨウ</t>
    </rPh>
    <phoneticPr fontId="2"/>
  </si>
  <si>
    <t>②4月～12月は令和5年度使用量実績値、1～3月は令和4年度使用実績値を採用</t>
    <rPh sb="2" eb="3">
      <t>ガツ</t>
    </rPh>
    <rPh sb="6" eb="7">
      <t>ガツ</t>
    </rPh>
    <rPh sb="8" eb="10">
      <t>レイワ</t>
    </rPh>
    <rPh sb="11" eb="13">
      <t>ネンド</t>
    </rPh>
    <rPh sb="13" eb="16">
      <t>シヨウリョウ</t>
    </rPh>
    <rPh sb="16" eb="19">
      <t>ジッセキチ</t>
    </rPh>
    <rPh sb="23" eb="24">
      <t>ガツ</t>
    </rPh>
    <rPh sb="25" eb="27">
      <t>レイワ</t>
    </rPh>
    <rPh sb="28" eb="30">
      <t>ネンド</t>
    </rPh>
    <rPh sb="30" eb="35">
      <t>シヨウジッセキチ</t>
    </rPh>
    <rPh sb="36" eb="38">
      <t>サイヨウ</t>
    </rPh>
    <phoneticPr fontId="2"/>
  </si>
  <si>
    <t>④R5年度の九州電力契約単価を採用</t>
    <rPh sb="3" eb="5">
      <t>ネンド</t>
    </rPh>
    <rPh sb="6" eb="10">
      <t>キュウシュウデンリョク</t>
    </rPh>
    <rPh sb="10" eb="12">
      <t>ケイヤク</t>
    </rPh>
    <rPh sb="12" eb="14">
      <t>タンカ</t>
    </rPh>
    <rPh sb="15" eb="17">
      <t>サイヨウ</t>
    </rPh>
    <phoneticPr fontId="2"/>
  </si>
  <si>
    <t>⑤R5年度の九州電力契約単価を採用</t>
    <rPh sb="6" eb="12">
      <t>キュウシュウデンリョクケイヤク</t>
    </rPh>
    <phoneticPr fontId="2"/>
  </si>
  <si>
    <t>③九州電力㈱の公表単価を採用</t>
    <rPh sb="12" eb="14">
      <t>サイヨウ</t>
    </rPh>
    <phoneticPr fontId="2"/>
  </si>
  <si>
    <t>R
6
～
R
７
年
度
共
通</t>
    <rPh sb="10" eb="11">
      <t>ネン</t>
    </rPh>
    <rPh sb="12" eb="13">
      <t>ド</t>
    </rPh>
    <rPh sb="14" eb="15">
      <t>トモ</t>
    </rPh>
    <rPh sb="16" eb="17">
      <t>ツウ</t>
    </rPh>
    <phoneticPr fontId="2"/>
  </si>
  <si>
    <t>②4月～12月は令和６年度使用量実績値、1～3月は令和５年度使用実績値を採用</t>
    <rPh sb="2" eb="3">
      <t>ガツ</t>
    </rPh>
    <rPh sb="6" eb="7">
      <t>ガツ</t>
    </rPh>
    <rPh sb="8" eb="10">
      <t>レイワ</t>
    </rPh>
    <rPh sb="11" eb="13">
      <t>ネンド</t>
    </rPh>
    <rPh sb="13" eb="16">
      <t>シヨウリョウ</t>
    </rPh>
    <rPh sb="16" eb="19">
      <t>ジッセキチ</t>
    </rPh>
    <rPh sb="23" eb="24">
      <t>ガツ</t>
    </rPh>
    <rPh sb="25" eb="27">
      <t>レイワ</t>
    </rPh>
    <rPh sb="28" eb="30">
      <t>ネンド</t>
    </rPh>
    <rPh sb="30" eb="35">
      <t>シヨウジッセキチ</t>
    </rPh>
    <rPh sb="36" eb="38">
      <t>サイヨウ</t>
    </rPh>
    <phoneticPr fontId="2"/>
  </si>
  <si>
    <t>①令和６年度九州電力公表単価を採用</t>
    <rPh sb="1" eb="3">
      <t>レイワ</t>
    </rPh>
    <rPh sb="4" eb="6">
      <t>ネンド</t>
    </rPh>
    <rPh sb="6" eb="10">
      <t>キュウシュウデンリョク</t>
    </rPh>
    <rPh sb="10" eb="12">
      <t>コウヒョウ</t>
    </rPh>
    <rPh sb="12" eb="14">
      <t>タンカ</t>
    </rPh>
    <rPh sb="15" eb="17">
      <t>サイヨウ</t>
    </rPh>
    <phoneticPr fontId="2"/>
  </si>
  <si>
    <t>R
７
年
度
共
通</t>
    <rPh sb="4" eb="5">
      <t>ネン</t>
    </rPh>
    <rPh sb="6" eb="7">
      <t>ド</t>
    </rPh>
    <rPh sb="8" eb="9">
      <t>トモ</t>
    </rPh>
    <rPh sb="10" eb="11">
      <t>ツウ</t>
    </rPh>
    <phoneticPr fontId="2"/>
  </si>
  <si>
    <t>①令和７年度九州電力から公表された２０２５年４月からの単価</t>
    <rPh sb="1" eb="3">
      <t>レイワ</t>
    </rPh>
    <rPh sb="4" eb="6">
      <t>ネンド</t>
    </rPh>
    <rPh sb="6" eb="10">
      <t>キュウシュウデンリョク</t>
    </rPh>
    <rPh sb="12" eb="14">
      <t>コウヒョウ</t>
    </rPh>
    <rPh sb="21" eb="22">
      <t>ネン</t>
    </rPh>
    <rPh sb="23" eb="24">
      <t>ガツ</t>
    </rPh>
    <rPh sb="27" eb="29">
      <t>タンカ</t>
    </rPh>
    <phoneticPr fontId="2"/>
  </si>
  <si>
    <t>③単価</t>
    <rPh sb="1" eb="3">
      <t>タンカ</t>
    </rPh>
    <phoneticPr fontId="2"/>
  </si>
  <si>
    <t>⑤単価</t>
    <rPh sb="1" eb="3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</si>
</sst>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#,##0.00_ "/>
    <numFmt numFmtId="178" formatCode="#,##0.00_);[Red]\(#,##0.00\)"/>
    <numFmt numFmtId="179" formatCode="#,##0_);[Red]\(#,##0\)"/>
    <numFmt numFmtId="180" formatCode="#,##0.000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3" xfId="0" applyNumberFormat="1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176" fontId="0" fillId="0" borderId="3" xfId="0" applyNumberForma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38" fontId="6" fillId="0" borderId="1" xfId="1" applyFont="1" applyBorder="1" applyAlignment="1">
      <alignment vertical="center" shrinkToFit="1"/>
    </xf>
    <xf numFmtId="5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5" fontId="6" fillId="0" borderId="0" xfId="0" applyNumberFormat="1" applyFont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178" fontId="0" fillId="0" borderId="2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38" fontId="6" fillId="0" borderId="1" xfId="1" applyFont="1" applyFill="1" applyBorder="1" applyAlignment="1">
      <alignment vertical="center" shrinkToFit="1"/>
    </xf>
    <xf numFmtId="177" fontId="0" fillId="2" borderId="1" xfId="0" applyNumberFormat="1" applyFill="1" applyBorder="1" applyAlignment="1">
      <alignment vertical="center" wrapText="1"/>
    </xf>
    <xf numFmtId="176" fontId="0" fillId="2" borderId="1" xfId="0" applyNumberFormat="1" applyFill="1" applyBorder="1" applyAlignment="1">
      <alignment vertical="center" wrapText="1"/>
    </xf>
    <xf numFmtId="178" fontId="0" fillId="2" borderId="2" xfId="0" applyNumberFormat="1" applyFill="1" applyBorder="1" applyAlignment="1">
      <alignment vertical="center" wrapText="1"/>
    </xf>
    <xf numFmtId="179" fontId="0" fillId="2" borderId="1" xfId="0" applyNumberFormat="1" applyFill="1" applyBorder="1" applyAlignment="1">
      <alignment vertical="center" wrapText="1"/>
    </xf>
    <xf numFmtId="178" fontId="0" fillId="2" borderId="1" xfId="0" applyNumberFormat="1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177" fontId="0" fillId="3" borderId="1" xfId="0" applyNumberFormat="1" applyFill="1" applyBorder="1" applyAlignment="1">
      <alignment vertical="center" wrapText="1"/>
    </xf>
    <xf numFmtId="177" fontId="0" fillId="3" borderId="2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38" fontId="6" fillId="2" borderId="1" xfId="1" applyFont="1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0" fillId="4" borderId="1" xfId="0" applyNumberFormat="1" applyFill="1" applyBorder="1" applyAlignment="1">
      <alignment vertical="center" wrapText="1"/>
    </xf>
    <xf numFmtId="38" fontId="6" fillId="3" borderId="1" xfId="1" applyFont="1" applyFill="1" applyBorder="1" applyAlignment="1">
      <alignment vertical="center" shrinkToFit="1"/>
    </xf>
    <xf numFmtId="177" fontId="0" fillId="2" borderId="2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7" fontId="0" fillId="0" borderId="3" xfId="0" applyNumberForma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177" fontId="0" fillId="0" borderId="7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1" fillId="0" borderId="4" xfId="1" applyBorder="1" applyAlignment="1">
      <alignment horizontal="center" vertical="center" wrapText="1"/>
    </xf>
    <xf numFmtId="38" fontId="1" fillId="0" borderId="5" xfId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 wrapText="1"/>
    </xf>
    <xf numFmtId="177" fontId="0" fillId="2" borderId="1" xfId="0" applyNumberFormat="1" applyFill="1" applyBorder="1" applyAlignment="1">
      <alignment vertical="center" wrapText="1"/>
    </xf>
    <xf numFmtId="177" fontId="0" fillId="2" borderId="3" xfId="0" applyNumberFormat="1" applyFill="1" applyBorder="1" applyAlignment="1">
      <alignment vertical="center" wrapText="1"/>
    </xf>
    <xf numFmtId="177" fontId="0" fillId="2" borderId="6" xfId="0" applyNumberFormat="1" applyFill="1" applyBorder="1" applyAlignment="1">
      <alignment vertical="center" wrapText="1"/>
    </xf>
    <xf numFmtId="177" fontId="0" fillId="2" borderId="7" xfId="0" applyNumberFormat="1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wrapText="1"/>
    </xf>
    <xf numFmtId="176" fontId="6" fillId="0" borderId="25" xfId="0" applyNumberFormat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syomu\disk\My%20Documents\&#23567;&#30000;\&#9671;&#38651;&#21147;&#20379;&#32102;&#22865;&#32004;&#38306;&#20418;&#65288;&#65297;&#26376;&#12539;&#65301;&#26376;&#12539;&#65302;&#26376;&#65289;\H23\&#21307;&#30274;&#12475;&#12531;&#12479;&#12540;\&#9313;&#12288;&#20837;&#26413;&#22519;&#34892;\&#65288;&#21029;&#32025;&#65301;&#65289;&#20104;&#23450;&#20351;&#29992;&#37327;2301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zoomScale="90" zoomScaleNormal="90" zoomScaleSheetLayoutView="9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M30" sqref="M30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9" max="9" width="14.44140625" customWidth="1"/>
    <col min="11" max="11" width="9.77734375" customWidth="1"/>
    <col min="12" max="12" width="14.44140625" customWidth="1"/>
    <col min="13" max="13" width="10.33203125" customWidth="1"/>
    <col min="14" max="14" width="11.109375" customWidth="1"/>
    <col min="15" max="15" width="12.109375" customWidth="1"/>
    <col min="16" max="16" width="12.77734375" customWidth="1"/>
    <col min="17" max="17" width="13.109375" customWidth="1"/>
    <col min="19" max="19" width="10" customWidth="1"/>
    <col min="20" max="20" width="9.77734375" bestFit="1" customWidth="1"/>
  </cols>
  <sheetData>
    <row r="1" spans="1:20" ht="18.75" customHeight="1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ht="26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0" ht="13.5" customHeight="1">
      <c r="A3" s="52" t="s">
        <v>0</v>
      </c>
      <c r="B3" s="63"/>
      <c r="C3" s="53" t="s">
        <v>1</v>
      </c>
      <c r="D3" s="54"/>
      <c r="E3" s="54"/>
      <c r="F3" s="54"/>
      <c r="G3" s="54"/>
      <c r="H3" s="54"/>
      <c r="I3" s="55"/>
      <c r="J3" s="66" t="s">
        <v>2</v>
      </c>
      <c r="K3" s="66"/>
      <c r="L3" s="66"/>
      <c r="M3" s="66"/>
      <c r="N3" s="66"/>
      <c r="O3" s="66"/>
      <c r="P3" s="59" t="s">
        <v>32</v>
      </c>
      <c r="Q3" s="59" t="s">
        <v>32</v>
      </c>
    </row>
    <row r="4" spans="1:20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 t="s">
        <v>3</v>
      </c>
      <c r="K4" s="52"/>
      <c r="L4" s="52"/>
      <c r="M4" s="52" t="s">
        <v>18</v>
      </c>
      <c r="N4" s="52"/>
      <c r="O4" s="52"/>
      <c r="P4" s="59"/>
      <c r="Q4" s="59"/>
    </row>
    <row r="5" spans="1:20" ht="13.5" customHeight="1">
      <c r="A5" s="63"/>
      <c r="B5" s="63"/>
      <c r="C5" s="52" t="s">
        <v>4</v>
      </c>
      <c r="D5" s="65" t="s">
        <v>34</v>
      </c>
      <c r="E5" s="62" t="s">
        <v>33</v>
      </c>
      <c r="F5" s="52" t="s">
        <v>27</v>
      </c>
      <c r="G5" s="1" t="s">
        <v>5</v>
      </c>
      <c r="H5" s="52" t="s">
        <v>6</v>
      </c>
      <c r="I5" s="52" t="s">
        <v>26</v>
      </c>
      <c r="J5" s="52" t="s">
        <v>4</v>
      </c>
      <c r="K5" s="64" t="s">
        <v>7</v>
      </c>
      <c r="L5" s="52" t="s">
        <v>62</v>
      </c>
      <c r="M5" s="4" t="s">
        <v>5</v>
      </c>
      <c r="N5" s="52" t="s">
        <v>6</v>
      </c>
      <c r="O5" s="52" t="s">
        <v>29</v>
      </c>
      <c r="P5" s="59"/>
      <c r="Q5" s="59"/>
    </row>
    <row r="6" spans="1:20" ht="28.8">
      <c r="A6" s="63"/>
      <c r="B6" s="63"/>
      <c r="C6" s="52"/>
      <c r="D6" s="52"/>
      <c r="E6" s="61"/>
      <c r="F6" s="52"/>
      <c r="G6" s="3" t="s">
        <v>8</v>
      </c>
      <c r="H6" s="52"/>
      <c r="I6" s="52"/>
      <c r="J6" s="52"/>
      <c r="K6" s="52"/>
      <c r="L6" s="52"/>
      <c r="M6" s="3" t="s">
        <v>9</v>
      </c>
      <c r="N6" s="52"/>
      <c r="O6" s="52"/>
      <c r="P6" s="59"/>
      <c r="Q6" s="59"/>
    </row>
    <row r="7" spans="1:20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 t="s">
        <v>10</v>
      </c>
      <c r="I7" s="1" t="s">
        <v>10</v>
      </c>
      <c r="J7" s="1" t="s">
        <v>21</v>
      </c>
      <c r="K7" s="1" t="s">
        <v>10</v>
      </c>
      <c r="L7" s="1" t="s">
        <v>10</v>
      </c>
      <c r="M7" s="1" t="s">
        <v>20</v>
      </c>
      <c r="N7" s="1" t="s">
        <v>10</v>
      </c>
      <c r="O7" s="1" t="s">
        <v>10</v>
      </c>
      <c r="P7" s="1" t="s">
        <v>30</v>
      </c>
      <c r="Q7" s="1" t="s">
        <v>31</v>
      </c>
    </row>
    <row r="8" spans="1:20" ht="13.5" customHeight="1">
      <c r="A8" s="62" t="s">
        <v>39</v>
      </c>
      <c r="B8" s="52" t="s">
        <v>23</v>
      </c>
      <c r="C8" s="47">
        <v>1350</v>
      </c>
      <c r="D8" s="48">
        <v>2008.8</v>
      </c>
      <c r="E8" s="49">
        <v>0.85</v>
      </c>
      <c r="F8" s="47">
        <f>C8*D8*E8</f>
        <v>2305098</v>
      </c>
      <c r="G8" s="5"/>
      <c r="H8" s="19"/>
      <c r="I8" s="9">
        <f t="shared" ref="I8:I43" si="0">G8*H8</f>
        <v>0</v>
      </c>
      <c r="J8" s="47">
        <v>400</v>
      </c>
      <c r="K8" s="5"/>
      <c r="L8" s="5">
        <v>0</v>
      </c>
      <c r="M8" s="5" t="e">
        <f>[1]医セ!$H$5</f>
        <v>#REF!</v>
      </c>
      <c r="N8" s="17">
        <v>18.23</v>
      </c>
      <c r="O8" s="5" t="e">
        <f>M8*N8</f>
        <v>#REF!</v>
      </c>
      <c r="P8" s="47" t="e">
        <f>F8+I8+I9+I10+L8+L9+O8+O9</f>
        <v>#REF!</v>
      </c>
      <c r="Q8" s="47" t="e">
        <f>ROUNDDOWN(P8/1.08,0)</f>
        <v>#REF!</v>
      </c>
      <c r="T8" s="11"/>
    </row>
    <row r="9" spans="1:20">
      <c r="A9" s="60"/>
      <c r="B9" s="52"/>
      <c r="C9" s="47"/>
      <c r="D9" s="48"/>
      <c r="E9" s="50"/>
      <c r="F9" s="47"/>
      <c r="G9" s="5">
        <v>279624</v>
      </c>
      <c r="H9" s="20">
        <v>13.25</v>
      </c>
      <c r="I9" s="9">
        <f t="shared" si="0"/>
        <v>3705018</v>
      </c>
      <c r="J9" s="47"/>
      <c r="K9" s="22">
        <v>427.68</v>
      </c>
      <c r="L9" s="23">
        <f>J8*K9</f>
        <v>171072</v>
      </c>
      <c r="M9" s="5" t="e">
        <f>[1]医セ!$G$5</f>
        <v>#REF!</v>
      </c>
      <c r="N9" s="17">
        <v>22.11</v>
      </c>
      <c r="O9" s="5" t="e">
        <f>M9*N9</f>
        <v>#REF!</v>
      </c>
      <c r="P9" s="47"/>
      <c r="Q9" s="47"/>
      <c r="S9" s="5"/>
      <c r="T9" s="11">
        <f>ROUNDDOWN(S9*1.03,0)</f>
        <v>0</v>
      </c>
    </row>
    <row r="10" spans="1:20">
      <c r="A10" s="60"/>
      <c r="B10" s="52"/>
      <c r="C10" s="47"/>
      <c r="D10" s="48"/>
      <c r="E10" s="51"/>
      <c r="F10" s="47"/>
      <c r="G10" s="5">
        <v>235416</v>
      </c>
      <c r="H10" s="20">
        <v>8.8699999999999992</v>
      </c>
      <c r="I10" s="9">
        <f t="shared" si="0"/>
        <v>2088139.92</v>
      </c>
      <c r="J10" s="47"/>
      <c r="K10" s="18"/>
      <c r="L10" s="6"/>
      <c r="M10" s="6"/>
      <c r="N10" s="18"/>
      <c r="O10" s="6"/>
      <c r="P10" s="47"/>
      <c r="Q10" s="47"/>
      <c r="S10" s="5">
        <v>262416</v>
      </c>
      <c r="T10" s="11">
        <f t="shared" ref="T10:T44" si="1">ROUNDDOWN(S10*1.03,0)</f>
        <v>270288</v>
      </c>
    </row>
    <row r="11" spans="1:20" ht="13.5" customHeight="1">
      <c r="A11" s="60"/>
      <c r="B11" s="52" t="s">
        <v>24</v>
      </c>
      <c r="C11" s="47">
        <v>1350</v>
      </c>
      <c r="D11" s="48">
        <v>2008.8</v>
      </c>
      <c r="E11" s="49">
        <v>0.85</v>
      </c>
      <c r="F11" s="47">
        <f>C11*D11*E11</f>
        <v>2305098</v>
      </c>
      <c r="G11" s="5"/>
      <c r="H11" s="19"/>
      <c r="I11" s="9">
        <f t="shared" si="0"/>
        <v>0</v>
      </c>
      <c r="J11" s="47">
        <v>400</v>
      </c>
      <c r="K11" s="5"/>
      <c r="L11" s="5">
        <f>J12*K11</f>
        <v>0</v>
      </c>
      <c r="M11" s="5" t="e">
        <f>[1]医セ!$H$6</f>
        <v>#REF!</v>
      </c>
      <c r="N11" s="17">
        <v>18.23</v>
      </c>
      <c r="O11" s="5" t="e">
        <f>M11*N11</f>
        <v>#REF!</v>
      </c>
      <c r="P11" s="47" t="e">
        <f>F11+I11+I12+I13+L11+L12+O11+O12</f>
        <v>#REF!</v>
      </c>
      <c r="Q11" s="47" t="e">
        <f>ROUNDDOWN(P11/1.08,0)</f>
        <v>#REF!</v>
      </c>
      <c r="S11" s="5">
        <v>232032</v>
      </c>
      <c r="T11" s="11">
        <f t="shared" si="1"/>
        <v>238992</v>
      </c>
    </row>
    <row r="12" spans="1:20">
      <c r="A12" s="60"/>
      <c r="B12" s="52"/>
      <c r="C12" s="47"/>
      <c r="D12" s="48"/>
      <c r="E12" s="50"/>
      <c r="F12" s="47"/>
      <c r="G12" s="5">
        <v>279384</v>
      </c>
      <c r="H12" s="20">
        <v>13.25</v>
      </c>
      <c r="I12" s="9">
        <f t="shared" si="0"/>
        <v>3701838</v>
      </c>
      <c r="J12" s="47"/>
      <c r="K12" s="22">
        <v>427.68</v>
      </c>
      <c r="L12" s="23">
        <f>J11*K12</f>
        <v>171072</v>
      </c>
      <c r="M12" s="5" t="e">
        <f>[1]医セ!$G$6</f>
        <v>#REF!</v>
      </c>
      <c r="N12" s="17">
        <v>22.11</v>
      </c>
      <c r="O12" s="5" t="e">
        <f>M12*N12</f>
        <v>#REF!</v>
      </c>
      <c r="P12" s="47"/>
      <c r="Q12" s="47"/>
      <c r="S12" s="5"/>
      <c r="T12" s="11">
        <f t="shared" si="1"/>
        <v>0</v>
      </c>
    </row>
    <row r="13" spans="1:20">
      <c r="A13" s="60"/>
      <c r="B13" s="52"/>
      <c r="C13" s="47"/>
      <c r="D13" s="48"/>
      <c r="E13" s="51"/>
      <c r="F13" s="47"/>
      <c r="G13" s="5">
        <v>326664</v>
      </c>
      <c r="H13" s="20">
        <v>8.8699999999999992</v>
      </c>
      <c r="I13" s="9">
        <f t="shared" si="0"/>
        <v>2897509.6799999997</v>
      </c>
      <c r="J13" s="47"/>
      <c r="K13" s="18"/>
      <c r="L13" s="6"/>
      <c r="M13" s="6"/>
      <c r="N13" s="18"/>
      <c r="O13" s="6"/>
      <c r="P13" s="47"/>
      <c r="Q13" s="47"/>
      <c r="S13" s="5">
        <v>276024</v>
      </c>
      <c r="T13" s="11">
        <f t="shared" si="1"/>
        <v>284304</v>
      </c>
    </row>
    <row r="14" spans="1:20" ht="13.5" customHeight="1">
      <c r="A14" s="60"/>
      <c r="B14" s="52" t="s">
        <v>25</v>
      </c>
      <c r="C14" s="47">
        <v>1350</v>
      </c>
      <c r="D14" s="48">
        <v>2008.8</v>
      </c>
      <c r="E14" s="49">
        <v>0.85</v>
      </c>
      <c r="F14" s="47">
        <f>C14*D14*E14</f>
        <v>2305098</v>
      </c>
      <c r="G14" s="5"/>
      <c r="H14" s="19"/>
      <c r="I14" s="9">
        <f t="shared" si="0"/>
        <v>0</v>
      </c>
      <c r="J14" s="47">
        <v>400</v>
      </c>
      <c r="K14" s="5"/>
      <c r="L14" s="5">
        <f>J15*K14</f>
        <v>0</v>
      </c>
      <c r="M14" s="5">
        <v>0</v>
      </c>
      <c r="N14" s="17">
        <v>18.23</v>
      </c>
      <c r="O14" s="5">
        <f>M14*N14</f>
        <v>0</v>
      </c>
      <c r="P14" s="47" t="e">
        <f>F14+I14+I15+I16+L14+L15+O14+O15</f>
        <v>#REF!</v>
      </c>
      <c r="Q14" s="47" t="e">
        <f>ROUNDDOWN(P14/1.08,0)</f>
        <v>#REF!</v>
      </c>
      <c r="S14" s="5">
        <v>283488</v>
      </c>
      <c r="T14" s="11">
        <f t="shared" si="1"/>
        <v>291992</v>
      </c>
    </row>
    <row r="15" spans="1:20">
      <c r="A15" s="60"/>
      <c r="B15" s="52"/>
      <c r="C15" s="47"/>
      <c r="D15" s="48"/>
      <c r="E15" s="50"/>
      <c r="F15" s="47"/>
      <c r="G15" s="5">
        <v>356472</v>
      </c>
      <c r="H15" s="20">
        <v>13.25</v>
      </c>
      <c r="I15" s="9">
        <f t="shared" si="0"/>
        <v>4723254</v>
      </c>
      <c r="J15" s="47"/>
      <c r="K15" s="22">
        <v>427.68</v>
      </c>
      <c r="L15" s="23">
        <f>J14*K15</f>
        <v>171072</v>
      </c>
      <c r="M15" s="5" t="e">
        <f>[1]医セ!$G$7</f>
        <v>#REF!</v>
      </c>
      <c r="N15" s="17">
        <v>22.11</v>
      </c>
      <c r="O15" s="5" t="e">
        <f>M15*N15</f>
        <v>#REF!</v>
      </c>
      <c r="P15" s="47"/>
      <c r="Q15" s="47"/>
      <c r="S15" s="5"/>
      <c r="T15" s="11">
        <f t="shared" si="1"/>
        <v>0</v>
      </c>
    </row>
    <row r="16" spans="1:20">
      <c r="A16" s="60"/>
      <c r="B16" s="52"/>
      <c r="C16" s="47"/>
      <c r="D16" s="48"/>
      <c r="E16" s="51"/>
      <c r="F16" s="47"/>
      <c r="G16" s="5">
        <v>260712</v>
      </c>
      <c r="H16" s="20">
        <v>8.8699999999999992</v>
      </c>
      <c r="I16" s="9">
        <f t="shared" si="0"/>
        <v>2312515.44</v>
      </c>
      <c r="J16" s="47"/>
      <c r="K16" s="18"/>
      <c r="L16" s="6"/>
      <c r="M16" s="6"/>
      <c r="N16" s="18"/>
      <c r="O16" s="6"/>
      <c r="P16" s="47"/>
      <c r="Q16" s="47"/>
      <c r="S16" s="5">
        <v>338616</v>
      </c>
      <c r="T16" s="11">
        <f t="shared" si="1"/>
        <v>348774</v>
      </c>
    </row>
    <row r="17" spans="1:20" ht="13.5" customHeight="1">
      <c r="A17" s="60"/>
      <c r="B17" s="52" t="s">
        <v>11</v>
      </c>
      <c r="C17" s="47">
        <v>1350</v>
      </c>
      <c r="D17" s="48">
        <v>2008.8</v>
      </c>
      <c r="E17" s="49">
        <v>0.85</v>
      </c>
      <c r="F17" s="47">
        <f>C17*D17*E17</f>
        <v>2305098</v>
      </c>
      <c r="G17" s="5">
        <v>84360</v>
      </c>
      <c r="H17" s="20">
        <v>16.61</v>
      </c>
      <c r="I17" s="9">
        <f t="shared" si="0"/>
        <v>1401219.5999999999</v>
      </c>
      <c r="J17" s="47">
        <v>400</v>
      </c>
      <c r="K17" s="5"/>
      <c r="L17" s="5">
        <f>J18*K17</f>
        <v>0</v>
      </c>
      <c r="M17" s="5" t="e">
        <f>[1]医セ!$H$8</f>
        <v>#REF!</v>
      </c>
      <c r="N17" s="17">
        <v>19.78</v>
      </c>
      <c r="O17" s="5" t="e">
        <f>M17*N17</f>
        <v>#REF!</v>
      </c>
      <c r="P17" s="47" t="e">
        <f>F17+I17+I18+I19+L17+L18+O17+O18</f>
        <v>#REF!</v>
      </c>
      <c r="Q17" s="47" t="e">
        <f>ROUNDDOWN(P17/1.08,0)</f>
        <v>#REF!</v>
      </c>
      <c r="S17" s="5">
        <v>235728</v>
      </c>
      <c r="T17" s="11">
        <f t="shared" si="1"/>
        <v>242799</v>
      </c>
    </row>
    <row r="18" spans="1:20">
      <c r="A18" s="60"/>
      <c r="B18" s="52"/>
      <c r="C18" s="47"/>
      <c r="D18" s="48"/>
      <c r="E18" s="50"/>
      <c r="F18" s="47"/>
      <c r="G18" s="5">
        <v>294408</v>
      </c>
      <c r="H18" s="20">
        <v>14.19</v>
      </c>
      <c r="I18" s="9">
        <f t="shared" si="0"/>
        <v>4177649.52</v>
      </c>
      <c r="J18" s="47"/>
      <c r="K18" s="22">
        <v>427.68</v>
      </c>
      <c r="L18" s="23">
        <f>J17*K18</f>
        <v>171072</v>
      </c>
      <c r="M18" s="5" t="e">
        <f>[1]医セ!$G$8</f>
        <v>#REF!</v>
      </c>
      <c r="N18" s="17">
        <v>24.06</v>
      </c>
      <c r="O18" s="5" t="e">
        <f>M18*N18</f>
        <v>#REF!</v>
      </c>
      <c r="P18" s="47"/>
      <c r="Q18" s="47"/>
      <c r="S18" s="5">
        <v>74976</v>
      </c>
      <c r="T18" s="11">
        <f t="shared" si="1"/>
        <v>77225</v>
      </c>
    </row>
    <row r="19" spans="1:20">
      <c r="A19" s="60"/>
      <c r="B19" s="52"/>
      <c r="C19" s="47"/>
      <c r="D19" s="48"/>
      <c r="E19" s="51"/>
      <c r="F19" s="47"/>
      <c r="G19" s="5">
        <v>317736</v>
      </c>
      <c r="H19" s="20">
        <v>8.8699999999999992</v>
      </c>
      <c r="I19" s="9">
        <f t="shared" si="0"/>
        <v>2818318.32</v>
      </c>
      <c r="J19" s="47"/>
      <c r="K19" s="18"/>
      <c r="L19" s="6"/>
      <c r="M19" s="6"/>
      <c r="N19" s="18"/>
      <c r="O19" s="6"/>
      <c r="P19" s="47"/>
      <c r="Q19" s="47"/>
      <c r="S19" s="5">
        <v>254904</v>
      </c>
      <c r="T19" s="11">
        <f t="shared" si="1"/>
        <v>262551</v>
      </c>
    </row>
    <row r="20" spans="1:20" ht="13.5" customHeight="1">
      <c r="A20" s="60"/>
      <c r="B20" s="52" t="s">
        <v>12</v>
      </c>
      <c r="C20" s="47">
        <v>1350</v>
      </c>
      <c r="D20" s="48">
        <v>2008.8</v>
      </c>
      <c r="E20" s="49">
        <v>0.85</v>
      </c>
      <c r="F20" s="47">
        <f>C20*D20*E20</f>
        <v>2305098</v>
      </c>
      <c r="G20" s="5">
        <v>86616</v>
      </c>
      <c r="H20" s="20">
        <v>16.61</v>
      </c>
      <c r="I20" s="9">
        <f t="shared" si="0"/>
        <v>1438691.76</v>
      </c>
      <c r="J20" s="47">
        <v>400</v>
      </c>
      <c r="K20" s="5"/>
      <c r="L20" s="5">
        <f>J20*K20</f>
        <v>0</v>
      </c>
      <c r="M20" s="5">
        <v>0</v>
      </c>
      <c r="N20" s="17">
        <v>19.78</v>
      </c>
      <c r="O20" s="5">
        <f>M20*N20</f>
        <v>0</v>
      </c>
      <c r="P20" s="47">
        <f>F20+I20+I21+I22+L20+L21+O20+O21</f>
        <v>11758020.91</v>
      </c>
      <c r="Q20" s="47">
        <f>ROUNDDOWN(P20/1.08,0)</f>
        <v>10887056</v>
      </c>
      <c r="S20" s="5">
        <v>271728</v>
      </c>
      <c r="T20" s="11">
        <f t="shared" si="1"/>
        <v>279879</v>
      </c>
    </row>
    <row r="21" spans="1:20">
      <c r="A21" s="60"/>
      <c r="B21" s="52"/>
      <c r="C21" s="47"/>
      <c r="D21" s="48"/>
      <c r="E21" s="50"/>
      <c r="F21" s="47"/>
      <c r="G21" s="5">
        <v>300962</v>
      </c>
      <c r="H21" s="20">
        <v>14.19</v>
      </c>
      <c r="I21" s="9">
        <f t="shared" si="0"/>
        <v>4270650.78</v>
      </c>
      <c r="J21" s="47"/>
      <c r="K21" s="22">
        <v>1425.6</v>
      </c>
      <c r="L21" s="23">
        <f>J20*K21*0.85</f>
        <v>484704</v>
      </c>
      <c r="M21" s="23">
        <v>4493</v>
      </c>
      <c r="N21" s="22">
        <v>24.06</v>
      </c>
      <c r="O21" s="23">
        <f>M21*N21</f>
        <v>108101.57999999999</v>
      </c>
      <c r="P21" s="47"/>
      <c r="Q21" s="47"/>
      <c r="S21" s="5">
        <v>84408</v>
      </c>
      <c r="T21" s="11">
        <f t="shared" si="1"/>
        <v>86940</v>
      </c>
    </row>
    <row r="22" spans="1:20">
      <c r="A22" s="60"/>
      <c r="B22" s="52"/>
      <c r="C22" s="47"/>
      <c r="D22" s="48"/>
      <c r="E22" s="51"/>
      <c r="F22" s="47"/>
      <c r="G22" s="5">
        <v>355217</v>
      </c>
      <c r="H22" s="20">
        <v>8.8699999999999992</v>
      </c>
      <c r="I22" s="9">
        <f t="shared" si="0"/>
        <v>3150774.7899999996</v>
      </c>
      <c r="J22" s="47"/>
      <c r="K22" s="18"/>
      <c r="L22" s="6"/>
      <c r="M22" s="6"/>
      <c r="N22" s="18"/>
      <c r="O22" s="6"/>
      <c r="P22" s="47"/>
      <c r="Q22" s="47"/>
      <c r="S22" s="5">
        <v>284880</v>
      </c>
      <c r="T22" s="11">
        <f t="shared" si="1"/>
        <v>293426</v>
      </c>
    </row>
    <row r="23" spans="1:20" ht="13.5" customHeight="1">
      <c r="A23" s="60"/>
      <c r="B23" s="52" t="s">
        <v>13</v>
      </c>
      <c r="C23" s="47">
        <v>1350</v>
      </c>
      <c r="D23" s="48">
        <v>2008.8</v>
      </c>
      <c r="E23" s="49">
        <v>0.85</v>
      </c>
      <c r="F23" s="47">
        <f>C23*D23*E23</f>
        <v>2305098</v>
      </c>
      <c r="G23" s="5">
        <v>68448</v>
      </c>
      <c r="H23" s="20">
        <v>16.61</v>
      </c>
      <c r="I23" s="9">
        <f t="shared" si="0"/>
        <v>1136921.28</v>
      </c>
      <c r="J23" s="47">
        <v>400</v>
      </c>
      <c r="K23" s="5"/>
      <c r="L23" s="5">
        <f>J24*K23</f>
        <v>0</v>
      </c>
      <c r="M23" s="5" t="e">
        <f>[1]医セ!$H$10</f>
        <v>#REF!</v>
      </c>
      <c r="N23" s="17">
        <v>19.78</v>
      </c>
      <c r="O23" s="5" t="e">
        <f>M23*N23</f>
        <v>#REF!</v>
      </c>
      <c r="P23" s="47" t="e">
        <f>F23+I23+I24+I25+L23+L24+O23+O24</f>
        <v>#REF!</v>
      </c>
      <c r="Q23" s="47" t="e">
        <f>ROUNDDOWN(P23/1.08,0)</f>
        <v>#REF!</v>
      </c>
      <c r="S23" s="5">
        <v>297264</v>
      </c>
      <c r="T23" s="11">
        <f t="shared" si="1"/>
        <v>306181</v>
      </c>
    </row>
    <row r="24" spans="1:20">
      <c r="A24" s="60"/>
      <c r="B24" s="52"/>
      <c r="C24" s="47"/>
      <c r="D24" s="48"/>
      <c r="E24" s="50"/>
      <c r="F24" s="47"/>
      <c r="G24" s="5">
        <v>242352</v>
      </c>
      <c r="H24" s="20">
        <v>14.19</v>
      </c>
      <c r="I24" s="9">
        <f t="shared" si="0"/>
        <v>3438974.88</v>
      </c>
      <c r="J24" s="47"/>
      <c r="K24" s="22">
        <v>427.68</v>
      </c>
      <c r="L24" s="23">
        <f>J23*K24</f>
        <v>171072</v>
      </c>
      <c r="M24" s="5" t="e">
        <f>[1]医セ!$G$10</f>
        <v>#REF!</v>
      </c>
      <c r="N24" s="17">
        <v>24.06</v>
      </c>
      <c r="O24" s="5" t="e">
        <f>M24*N24</f>
        <v>#REF!</v>
      </c>
      <c r="P24" s="47"/>
      <c r="Q24" s="47"/>
      <c r="S24" s="5">
        <v>63600</v>
      </c>
      <c r="T24" s="11">
        <f t="shared" si="1"/>
        <v>65508</v>
      </c>
    </row>
    <row r="25" spans="1:20">
      <c r="A25" s="60"/>
      <c r="B25" s="52"/>
      <c r="C25" s="47"/>
      <c r="D25" s="48"/>
      <c r="E25" s="51"/>
      <c r="F25" s="47"/>
      <c r="G25" s="21">
        <v>328632</v>
      </c>
      <c r="H25" s="20">
        <v>8.8699999999999992</v>
      </c>
      <c r="I25" s="9">
        <f t="shared" si="0"/>
        <v>2914965.84</v>
      </c>
      <c r="J25" s="47"/>
      <c r="K25" s="18"/>
      <c r="L25" s="6"/>
      <c r="M25" s="6"/>
      <c r="N25" s="18"/>
      <c r="O25" s="6"/>
      <c r="P25" s="47"/>
      <c r="Q25" s="47"/>
      <c r="S25" s="5">
        <v>222984</v>
      </c>
      <c r="T25" s="11">
        <f t="shared" si="1"/>
        <v>229673</v>
      </c>
    </row>
    <row r="26" spans="1:20" ht="13.5" customHeight="1">
      <c r="A26" s="60"/>
      <c r="B26" s="52" t="s">
        <v>14</v>
      </c>
      <c r="C26" s="47">
        <v>1350</v>
      </c>
      <c r="D26" s="48">
        <v>2008.8</v>
      </c>
      <c r="E26" s="49">
        <v>0.85</v>
      </c>
      <c r="F26" s="47">
        <f>C26*D26*E26</f>
        <v>2305098</v>
      </c>
      <c r="G26" s="5"/>
      <c r="H26" s="19"/>
      <c r="I26" s="9">
        <f t="shared" si="0"/>
        <v>0</v>
      </c>
      <c r="J26" s="47">
        <v>400</v>
      </c>
      <c r="K26" s="5"/>
      <c r="L26" s="5">
        <f>J27*K26</f>
        <v>0</v>
      </c>
      <c r="M26" s="5"/>
      <c r="N26" s="17">
        <v>18.23</v>
      </c>
      <c r="O26" s="5">
        <f>M26*N26</f>
        <v>0</v>
      </c>
      <c r="P26" s="47" t="e">
        <f>F26+I26+I27+I28+L26+L27+O26+O27</f>
        <v>#REF!</v>
      </c>
      <c r="Q26" s="47" t="e">
        <f>ROUNDDOWN(P26/1.08,0)</f>
        <v>#REF!</v>
      </c>
      <c r="S26" s="13">
        <v>287904</v>
      </c>
      <c r="T26" s="11">
        <f t="shared" si="1"/>
        <v>296541</v>
      </c>
    </row>
    <row r="27" spans="1:20">
      <c r="A27" s="60"/>
      <c r="B27" s="52"/>
      <c r="C27" s="47"/>
      <c r="D27" s="48"/>
      <c r="E27" s="50"/>
      <c r="F27" s="47"/>
      <c r="G27" s="5">
        <v>342048</v>
      </c>
      <c r="H27" s="20">
        <v>13.25</v>
      </c>
      <c r="I27" s="9">
        <f t="shared" si="0"/>
        <v>4532136</v>
      </c>
      <c r="J27" s="47"/>
      <c r="K27" s="22">
        <v>427.68</v>
      </c>
      <c r="L27" s="23">
        <f>J26*K27</f>
        <v>171072</v>
      </c>
      <c r="M27" s="5" t="e">
        <f>[1]医セ!$G$11</f>
        <v>#REF!</v>
      </c>
      <c r="N27" s="17">
        <v>22.11</v>
      </c>
      <c r="O27" s="5" t="e">
        <f>M27*N27</f>
        <v>#REF!</v>
      </c>
      <c r="P27" s="47"/>
      <c r="Q27" s="47"/>
      <c r="S27" s="5"/>
      <c r="T27" s="11">
        <f t="shared" si="1"/>
        <v>0</v>
      </c>
    </row>
    <row r="28" spans="1:20">
      <c r="A28" s="60"/>
      <c r="B28" s="52"/>
      <c r="C28" s="47"/>
      <c r="D28" s="48"/>
      <c r="E28" s="51"/>
      <c r="F28" s="47"/>
      <c r="G28" s="5">
        <v>265968</v>
      </c>
      <c r="H28" s="20">
        <v>8.8699999999999992</v>
      </c>
      <c r="I28" s="9">
        <f t="shared" si="0"/>
        <v>2359136.1599999997</v>
      </c>
      <c r="J28" s="47"/>
      <c r="K28" s="18"/>
      <c r="L28" s="6"/>
      <c r="M28" s="6"/>
      <c r="N28" s="18"/>
      <c r="O28" s="6"/>
      <c r="P28" s="47"/>
      <c r="Q28" s="47"/>
      <c r="S28" s="5">
        <v>309216</v>
      </c>
      <c r="T28" s="11">
        <f t="shared" si="1"/>
        <v>318492</v>
      </c>
    </row>
    <row r="29" spans="1:20" ht="13.5" customHeight="1">
      <c r="A29" s="60"/>
      <c r="B29" s="52" t="s">
        <v>15</v>
      </c>
      <c r="C29" s="47">
        <v>1350</v>
      </c>
      <c r="D29" s="48">
        <v>2008.8</v>
      </c>
      <c r="E29" s="49">
        <v>0.85</v>
      </c>
      <c r="F29" s="47">
        <f>C29*D29*E29</f>
        <v>2305098</v>
      </c>
      <c r="G29" s="5"/>
      <c r="H29" s="19"/>
      <c r="I29" s="9">
        <f t="shared" si="0"/>
        <v>0</v>
      </c>
      <c r="J29" s="47">
        <v>400</v>
      </c>
      <c r="K29" s="5"/>
      <c r="L29" s="5">
        <f>J30*K29</f>
        <v>0</v>
      </c>
      <c r="M29" s="5" t="e">
        <f>[1]医セ!$H$12</f>
        <v>#REF!</v>
      </c>
      <c r="N29" s="17">
        <v>18.23</v>
      </c>
      <c r="O29" s="5" t="e">
        <f>M29*N29</f>
        <v>#REF!</v>
      </c>
      <c r="P29" s="47" t="e">
        <f>F29+I29+I30+I31+L29+L30+O29+O30</f>
        <v>#REF!</v>
      </c>
      <c r="Q29" s="47" t="e">
        <f>ROUNDDOWN(P29/1.08,0)</f>
        <v>#REF!</v>
      </c>
      <c r="S29" s="5">
        <v>242160</v>
      </c>
      <c r="T29" s="11">
        <f t="shared" si="1"/>
        <v>249424</v>
      </c>
    </row>
    <row r="30" spans="1:20">
      <c r="A30" s="60"/>
      <c r="B30" s="52"/>
      <c r="C30" s="47"/>
      <c r="D30" s="48"/>
      <c r="E30" s="50"/>
      <c r="F30" s="47"/>
      <c r="G30" s="5">
        <v>286224</v>
      </c>
      <c r="H30" s="20">
        <v>13.25</v>
      </c>
      <c r="I30" s="9">
        <f t="shared" si="0"/>
        <v>3792468</v>
      </c>
      <c r="J30" s="47"/>
      <c r="K30" s="22">
        <v>427.68</v>
      </c>
      <c r="L30" s="23">
        <f>J29*K30</f>
        <v>171072</v>
      </c>
      <c r="M30" s="5" t="e">
        <f>[1]医セ!$G$12</f>
        <v>#REF!</v>
      </c>
      <c r="N30" s="17">
        <v>22.11</v>
      </c>
      <c r="O30" s="5" t="e">
        <f>M30*N30</f>
        <v>#REF!</v>
      </c>
      <c r="P30" s="47"/>
      <c r="Q30" s="47"/>
      <c r="S30" s="5"/>
      <c r="T30" s="11">
        <f t="shared" si="1"/>
        <v>0</v>
      </c>
    </row>
    <row r="31" spans="1:20">
      <c r="A31" s="60"/>
      <c r="B31" s="52"/>
      <c r="C31" s="47"/>
      <c r="D31" s="48"/>
      <c r="E31" s="51"/>
      <c r="F31" s="47"/>
      <c r="G31" s="5">
        <v>283416</v>
      </c>
      <c r="H31" s="20">
        <v>8.8699999999999992</v>
      </c>
      <c r="I31" s="9">
        <f t="shared" si="0"/>
        <v>2513899.92</v>
      </c>
      <c r="J31" s="47"/>
      <c r="K31" s="18"/>
      <c r="L31" s="6"/>
      <c r="M31" s="6"/>
      <c r="N31" s="18"/>
      <c r="O31" s="6"/>
      <c r="P31" s="47"/>
      <c r="Q31" s="47"/>
      <c r="S31" s="5">
        <v>261912</v>
      </c>
      <c r="T31" s="11">
        <f t="shared" si="1"/>
        <v>269769</v>
      </c>
    </row>
    <row r="32" spans="1:20" ht="13.5" customHeight="1">
      <c r="A32" s="60"/>
      <c r="B32" s="52" t="s">
        <v>16</v>
      </c>
      <c r="C32" s="47">
        <v>1350</v>
      </c>
      <c r="D32" s="48">
        <v>2008.8</v>
      </c>
      <c r="E32" s="49">
        <v>0.85</v>
      </c>
      <c r="F32" s="47">
        <f>C32*D32*E32</f>
        <v>2305098</v>
      </c>
      <c r="G32" s="5"/>
      <c r="H32" s="19"/>
      <c r="I32" s="9">
        <f>G32*H32</f>
        <v>0</v>
      </c>
      <c r="J32" s="47">
        <v>400</v>
      </c>
      <c r="K32" s="5"/>
      <c r="L32" s="5">
        <f>J33*K32</f>
        <v>0</v>
      </c>
      <c r="M32" s="5" t="e">
        <f>[1]医セ!$H$13</f>
        <v>#REF!</v>
      </c>
      <c r="N32" s="17">
        <v>18.23</v>
      </c>
      <c r="O32" s="5" t="e">
        <f>M32*N32</f>
        <v>#REF!</v>
      </c>
      <c r="P32" s="47" t="e">
        <f>F32+I32+I33+I34+L32+L33+O32+O33</f>
        <v>#REF!</v>
      </c>
      <c r="Q32" s="47" t="e">
        <f>ROUNDDOWN(P32/1.08,0)</f>
        <v>#REF!</v>
      </c>
      <c r="S32" s="5">
        <v>229344</v>
      </c>
      <c r="T32" s="11">
        <f t="shared" si="1"/>
        <v>236224</v>
      </c>
    </row>
    <row r="33" spans="1:20">
      <c r="A33" s="60"/>
      <c r="B33" s="52"/>
      <c r="C33" s="47"/>
      <c r="D33" s="48"/>
      <c r="E33" s="50"/>
      <c r="F33" s="47"/>
      <c r="G33" s="5">
        <v>307608</v>
      </c>
      <c r="H33" s="20">
        <v>13.25</v>
      </c>
      <c r="I33" s="9">
        <f>G33*H33</f>
        <v>4075806</v>
      </c>
      <c r="J33" s="47"/>
      <c r="K33" s="22">
        <v>427.68</v>
      </c>
      <c r="L33" s="23">
        <f>J32*K33</f>
        <v>171072</v>
      </c>
      <c r="M33" s="5" t="e">
        <f>[1]医セ!$G$13</f>
        <v>#REF!</v>
      </c>
      <c r="N33" s="17">
        <v>22.11</v>
      </c>
      <c r="O33" s="5" t="e">
        <f>M33*N33</f>
        <v>#REF!</v>
      </c>
      <c r="P33" s="47"/>
      <c r="Q33" s="47"/>
      <c r="S33" s="5"/>
      <c r="T33" s="11">
        <f t="shared" si="1"/>
        <v>0</v>
      </c>
    </row>
    <row r="34" spans="1:20">
      <c r="A34" s="61"/>
      <c r="B34" s="52"/>
      <c r="C34" s="47"/>
      <c r="D34" s="48"/>
      <c r="E34" s="51"/>
      <c r="F34" s="47"/>
      <c r="G34" s="5">
        <v>295008</v>
      </c>
      <c r="H34" s="20">
        <v>8.8699999999999992</v>
      </c>
      <c r="I34" s="9">
        <f>G34*H34</f>
        <v>2616720.96</v>
      </c>
      <c r="J34" s="47"/>
      <c r="K34" s="18"/>
      <c r="L34" s="6"/>
      <c r="M34" s="6"/>
      <c r="N34" s="18"/>
      <c r="O34" s="6"/>
      <c r="P34" s="47"/>
      <c r="Q34" s="47"/>
      <c r="S34" s="5">
        <v>266976</v>
      </c>
      <c r="T34" s="11">
        <f t="shared" si="1"/>
        <v>274985</v>
      </c>
    </row>
    <row r="35" spans="1:20">
      <c r="A35" s="60" t="s">
        <v>40</v>
      </c>
      <c r="B35" s="52" t="s">
        <v>35</v>
      </c>
      <c r="C35" s="47">
        <v>1350</v>
      </c>
      <c r="D35" s="48">
        <v>2008.8</v>
      </c>
      <c r="E35" s="49">
        <v>0.85</v>
      </c>
      <c r="F35" s="47">
        <f>C35*D35*E35</f>
        <v>2305098</v>
      </c>
      <c r="G35" s="5"/>
      <c r="H35" s="19"/>
      <c r="I35" s="9">
        <f t="shared" si="0"/>
        <v>0</v>
      </c>
      <c r="J35" s="47">
        <v>400</v>
      </c>
      <c r="K35" s="5"/>
      <c r="L35" s="5">
        <f>J36*K35</f>
        <v>0</v>
      </c>
      <c r="M35" s="5" t="e">
        <f>[1]医セ!$H$14</f>
        <v>#REF!</v>
      </c>
      <c r="N35" s="17">
        <v>18.23</v>
      </c>
      <c r="O35" s="5" t="e">
        <f>M35*N35</f>
        <v>#REF!</v>
      </c>
      <c r="P35" s="47" t="e">
        <f>F35+I35+I36+I37+L35+L36+O35+O36</f>
        <v>#REF!</v>
      </c>
      <c r="Q35" s="47" t="e">
        <f>ROUNDDOWN(P35/1.08,0)</f>
        <v>#REF!</v>
      </c>
      <c r="S35" s="5">
        <v>258432</v>
      </c>
      <c r="T35" s="11">
        <f t="shared" si="1"/>
        <v>266184</v>
      </c>
    </row>
    <row r="36" spans="1:20">
      <c r="A36" s="60"/>
      <c r="B36" s="52"/>
      <c r="C36" s="47"/>
      <c r="D36" s="48"/>
      <c r="E36" s="50"/>
      <c r="F36" s="47"/>
      <c r="G36" s="5">
        <v>299160</v>
      </c>
      <c r="H36" s="20">
        <v>13.25</v>
      </c>
      <c r="I36" s="9">
        <f t="shared" si="0"/>
        <v>3963870</v>
      </c>
      <c r="J36" s="47"/>
      <c r="K36" s="22">
        <v>427.68</v>
      </c>
      <c r="L36" s="23">
        <f>J35*K36</f>
        <v>171072</v>
      </c>
      <c r="M36" s="5" t="e">
        <f>[1]医セ!$G$14</f>
        <v>#REF!</v>
      </c>
      <c r="N36" s="17">
        <v>22.11</v>
      </c>
      <c r="O36" s="5" t="e">
        <f>M36*N36</f>
        <v>#REF!</v>
      </c>
      <c r="P36" s="47"/>
      <c r="Q36" s="47"/>
      <c r="S36" s="5"/>
      <c r="T36" s="11">
        <f t="shared" si="1"/>
        <v>0</v>
      </c>
    </row>
    <row r="37" spans="1:20">
      <c r="A37" s="60"/>
      <c r="B37" s="52"/>
      <c r="C37" s="47"/>
      <c r="D37" s="48"/>
      <c r="E37" s="51"/>
      <c r="F37" s="47"/>
      <c r="G37" s="5">
        <v>308088</v>
      </c>
      <c r="H37" s="20">
        <v>8.8699999999999992</v>
      </c>
      <c r="I37" s="9">
        <f t="shared" si="0"/>
        <v>2732740.5599999996</v>
      </c>
      <c r="J37" s="47"/>
      <c r="K37" s="18"/>
      <c r="L37" s="6"/>
      <c r="M37" s="6"/>
      <c r="N37" s="18"/>
      <c r="O37" s="6"/>
      <c r="P37" s="47"/>
      <c r="Q37" s="47"/>
      <c r="S37" s="5">
        <v>267744</v>
      </c>
      <c r="T37" s="11">
        <f t="shared" si="1"/>
        <v>275776</v>
      </c>
    </row>
    <row r="38" spans="1:20">
      <c r="A38" s="60"/>
      <c r="B38" s="52" t="s">
        <v>36</v>
      </c>
      <c r="C38" s="47">
        <v>1350</v>
      </c>
      <c r="D38" s="48">
        <v>2008.8</v>
      </c>
      <c r="E38" s="49">
        <v>0.85</v>
      </c>
      <c r="F38" s="47">
        <f>C38*D38*E38</f>
        <v>2305098</v>
      </c>
      <c r="G38" s="5"/>
      <c r="H38" s="19"/>
      <c r="I38" s="9">
        <f t="shared" si="0"/>
        <v>0</v>
      </c>
      <c r="J38" s="47">
        <v>400</v>
      </c>
      <c r="K38" s="5"/>
      <c r="L38" s="5">
        <f>J39*K38</f>
        <v>0</v>
      </c>
      <c r="M38" s="5">
        <v>0</v>
      </c>
      <c r="N38" s="17">
        <v>18.23</v>
      </c>
      <c r="O38" s="5">
        <f>M38*N38</f>
        <v>0</v>
      </c>
      <c r="P38" s="47" t="e">
        <f>F38+I38+I39+I40+L38+L39+O38+O39</f>
        <v>#REF!</v>
      </c>
      <c r="Q38" s="47" t="e">
        <f>ROUNDDOWN(P38/1.08,0)</f>
        <v>#REF!</v>
      </c>
      <c r="S38" s="5">
        <v>273120</v>
      </c>
      <c r="T38" s="11">
        <f t="shared" si="1"/>
        <v>281313</v>
      </c>
    </row>
    <row r="39" spans="1:20">
      <c r="A39" s="60"/>
      <c r="B39" s="52"/>
      <c r="C39" s="47"/>
      <c r="D39" s="48"/>
      <c r="E39" s="50"/>
      <c r="F39" s="47"/>
      <c r="G39" s="5">
        <v>303288</v>
      </c>
      <c r="H39" s="20">
        <v>13.25</v>
      </c>
      <c r="I39" s="9">
        <f t="shared" si="0"/>
        <v>4018566</v>
      </c>
      <c r="J39" s="47"/>
      <c r="K39" s="22">
        <v>427.68</v>
      </c>
      <c r="L39" s="23">
        <f>J38*K39</f>
        <v>171072</v>
      </c>
      <c r="M39" s="5" t="e">
        <f>[1]医セ!$G$15</f>
        <v>#REF!</v>
      </c>
      <c r="N39" s="17">
        <v>22.11</v>
      </c>
      <c r="O39" s="5" t="e">
        <f>M39*N39</f>
        <v>#REF!</v>
      </c>
      <c r="P39" s="47"/>
      <c r="Q39" s="47"/>
      <c r="S39" s="5"/>
      <c r="T39" s="11">
        <f t="shared" si="1"/>
        <v>0</v>
      </c>
    </row>
    <row r="40" spans="1:20">
      <c r="A40" s="60"/>
      <c r="B40" s="52"/>
      <c r="C40" s="47"/>
      <c r="D40" s="48"/>
      <c r="E40" s="51"/>
      <c r="F40" s="47"/>
      <c r="G40" s="5">
        <v>259248</v>
      </c>
      <c r="H40" s="20">
        <v>8.8699999999999992</v>
      </c>
      <c r="I40" s="9">
        <f t="shared" si="0"/>
        <v>2299529.7599999998</v>
      </c>
      <c r="J40" s="47"/>
      <c r="K40" s="18"/>
      <c r="L40" s="6"/>
      <c r="M40" s="6"/>
      <c r="N40" s="18"/>
      <c r="O40" s="6"/>
      <c r="P40" s="47"/>
      <c r="Q40" s="47"/>
      <c r="S40" s="5">
        <v>282888</v>
      </c>
      <c r="T40" s="11">
        <f t="shared" si="1"/>
        <v>291374</v>
      </c>
    </row>
    <row r="41" spans="1:20">
      <c r="A41" s="60"/>
      <c r="B41" s="52" t="s">
        <v>37</v>
      </c>
      <c r="C41" s="47">
        <v>1350</v>
      </c>
      <c r="D41" s="48">
        <v>2008.8</v>
      </c>
      <c r="E41" s="49">
        <v>0.85</v>
      </c>
      <c r="F41" s="47">
        <f>C41*D41*E41</f>
        <v>2305098</v>
      </c>
      <c r="G41" s="5"/>
      <c r="H41" s="19"/>
      <c r="I41" s="9">
        <f t="shared" si="0"/>
        <v>0</v>
      </c>
      <c r="J41" s="47">
        <v>400</v>
      </c>
      <c r="K41" s="5"/>
      <c r="L41" s="5">
        <f>J42*K41</f>
        <v>0</v>
      </c>
      <c r="M41" s="5" t="e">
        <f>[1]医セ!$H$16</f>
        <v>#REF!</v>
      </c>
      <c r="N41" s="17">
        <v>18.23</v>
      </c>
      <c r="O41" s="5" t="e">
        <f>M41*N41</f>
        <v>#REF!</v>
      </c>
      <c r="P41" s="47" t="e">
        <f>F41+I41+I42+I43+L41+L42+O41+O42</f>
        <v>#REF!</v>
      </c>
      <c r="Q41" s="47" t="e">
        <f>ROUNDDOWN(P41/1.08,0)</f>
        <v>#REF!</v>
      </c>
      <c r="S41" s="5">
        <v>226344</v>
      </c>
      <c r="T41" s="11">
        <f t="shared" si="1"/>
        <v>233134</v>
      </c>
    </row>
    <row r="42" spans="1:20">
      <c r="A42" s="60"/>
      <c r="B42" s="52"/>
      <c r="C42" s="47"/>
      <c r="D42" s="48"/>
      <c r="E42" s="50"/>
      <c r="F42" s="47"/>
      <c r="G42" s="5">
        <v>327480</v>
      </c>
      <c r="H42" s="20">
        <v>13.25</v>
      </c>
      <c r="I42" s="9">
        <f t="shared" si="0"/>
        <v>4339110</v>
      </c>
      <c r="J42" s="47"/>
      <c r="K42" s="22">
        <v>427.68</v>
      </c>
      <c r="L42" s="23">
        <f>J41*K42</f>
        <v>171072</v>
      </c>
      <c r="M42" s="5" t="e">
        <f>[1]医セ!$G$16</f>
        <v>#REF!</v>
      </c>
      <c r="N42" s="17">
        <v>22.11</v>
      </c>
      <c r="O42" s="5" t="e">
        <f>M42*N42</f>
        <v>#REF!</v>
      </c>
      <c r="P42" s="47"/>
      <c r="Q42" s="47"/>
      <c r="S42" s="5"/>
      <c r="T42" s="11">
        <f t="shared" si="1"/>
        <v>0</v>
      </c>
    </row>
    <row r="43" spans="1:20">
      <c r="A43" s="61"/>
      <c r="B43" s="52"/>
      <c r="C43" s="47"/>
      <c r="D43" s="48"/>
      <c r="E43" s="51"/>
      <c r="F43" s="47"/>
      <c r="G43" s="5">
        <v>275208</v>
      </c>
      <c r="H43" s="20">
        <v>8.8699999999999992</v>
      </c>
      <c r="I43" s="9">
        <f t="shared" si="0"/>
        <v>2441094.96</v>
      </c>
      <c r="J43" s="47"/>
      <c r="K43" s="18"/>
      <c r="L43" s="6"/>
      <c r="M43" s="6"/>
      <c r="N43" s="18"/>
      <c r="O43" s="6"/>
      <c r="P43" s="47"/>
      <c r="Q43" s="47"/>
      <c r="S43" s="5">
        <v>294096</v>
      </c>
      <c r="T43" s="11">
        <f t="shared" si="1"/>
        <v>302918</v>
      </c>
    </row>
    <row r="44" spans="1:20" ht="13.8" thickBot="1">
      <c r="A44" s="52" t="s">
        <v>17</v>
      </c>
      <c r="B44" s="52"/>
      <c r="C44" s="6"/>
      <c r="D44" s="6"/>
      <c r="E44" s="5"/>
      <c r="F44" s="5">
        <f>SUM(F8:F43)</f>
        <v>27661176</v>
      </c>
      <c r="G44" s="5">
        <f>SUM(G8:G43)</f>
        <v>7369747</v>
      </c>
      <c r="H44" s="19"/>
      <c r="I44" s="9">
        <f>SUM(I8:I43)</f>
        <v>83861520.130000025</v>
      </c>
      <c r="J44" s="6"/>
      <c r="K44" s="18"/>
      <c r="L44" s="23">
        <f>SUM(L8:L43)</f>
        <v>2366496</v>
      </c>
      <c r="M44" s="5" t="e">
        <f>SUM(M8:M43)</f>
        <v>#REF!</v>
      </c>
      <c r="N44" s="18"/>
      <c r="O44" s="8" t="e">
        <f>SUM(O8:O43)</f>
        <v>#REF!</v>
      </c>
      <c r="P44" s="8" t="e">
        <f>SUM(P8:P43)</f>
        <v>#REF!</v>
      </c>
      <c r="Q44" s="10" t="e">
        <f>ROUNDDOWN(P44/1.08,0)</f>
        <v>#REF!</v>
      </c>
      <c r="S44" s="5">
        <v>235896</v>
      </c>
      <c r="T44" s="11">
        <f t="shared" si="1"/>
        <v>242972</v>
      </c>
    </row>
    <row r="45" spans="1:20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7" t="s">
        <v>38</v>
      </c>
      <c r="P45" s="69" t="e">
        <f>P44</f>
        <v>#REF!</v>
      </c>
      <c r="Q45" s="67" t="e">
        <f>Q44</f>
        <v>#REF!</v>
      </c>
      <c r="S45" s="5">
        <f>SUM(S9:S44)</f>
        <v>6619080</v>
      </c>
      <c r="T45" s="11">
        <f>SUM(T9:T44)</f>
        <v>6817638</v>
      </c>
    </row>
    <row r="46" spans="1:20" ht="17.25" customHeight="1" thickBot="1">
      <c r="A46" s="2"/>
      <c r="B46" s="2"/>
      <c r="C46" t="s">
        <v>41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8"/>
      <c r="P46" s="70"/>
      <c r="Q46" s="68"/>
    </row>
    <row r="47" spans="1:20" s="12" customFormat="1" ht="17.25" customHeight="1">
      <c r="A47" s="11"/>
      <c r="B47" s="11"/>
      <c r="C47" s="12" t="s">
        <v>42</v>
      </c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</row>
    <row r="48" spans="1:20" s="12" customFormat="1" ht="17.25" customHeight="1">
      <c r="A48" s="11"/>
      <c r="B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5"/>
      <c r="P48" s="16"/>
    </row>
    <row r="49" spans="1:17" ht="17.25" customHeight="1">
      <c r="A49" s="2"/>
      <c r="B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14"/>
      <c r="Q49" s="2"/>
    </row>
    <row r="50" spans="1:17">
      <c r="A50" s="2"/>
      <c r="B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</row>
    <row r="51" spans="1:17">
      <c r="A51" s="2"/>
      <c r="B51" s="2"/>
      <c r="C51" s="12"/>
      <c r="D51" s="2"/>
      <c r="E51" s="2"/>
      <c r="F51" s="2"/>
      <c r="G51" s="2"/>
      <c r="H51" s="2"/>
      <c r="I51" s="2"/>
      <c r="J51" s="2"/>
      <c r="L51" s="2"/>
      <c r="M51" s="2"/>
      <c r="N51" s="2"/>
      <c r="O51" s="2"/>
      <c r="P51" s="2"/>
      <c r="Q51" s="2"/>
    </row>
    <row r="52" spans="1:17">
      <c r="A52" s="2"/>
      <c r="B52" s="2"/>
      <c r="C52" s="1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Q52" s="2"/>
    </row>
    <row r="53" spans="1:17">
      <c r="A53" s="2"/>
      <c r="B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Q53" s="2"/>
    </row>
  </sheetData>
  <mergeCells count="123">
    <mergeCell ref="Q45:Q46"/>
    <mergeCell ref="E20:E22"/>
    <mergeCell ref="E23:E25"/>
    <mergeCell ref="E26:E28"/>
    <mergeCell ref="E29:E31"/>
    <mergeCell ref="P23:P25"/>
    <mergeCell ref="J23:J25"/>
    <mergeCell ref="P29:P31"/>
    <mergeCell ref="P26:P28"/>
    <mergeCell ref="F23:F25"/>
    <mergeCell ref="P45:P46"/>
    <mergeCell ref="P35:P37"/>
    <mergeCell ref="P32:P34"/>
    <mergeCell ref="J35:J37"/>
    <mergeCell ref="J32:J34"/>
    <mergeCell ref="F32:F34"/>
    <mergeCell ref="P8:P10"/>
    <mergeCell ref="J11:J13"/>
    <mergeCell ref="J8:J10"/>
    <mergeCell ref="F14:F16"/>
    <mergeCell ref="P14:P16"/>
    <mergeCell ref="F11:F13"/>
    <mergeCell ref="J14:J16"/>
    <mergeCell ref="P20:P22"/>
    <mergeCell ref="P17:P19"/>
    <mergeCell ref="A1:Q1"/>
    <mergeCell ref="Q38:Q40"/>
    <mergeCell ref="Q41:Q43"/>
    <mergeCell ref="O45:O46"/>
    <mergeCell ref="Q3:Q6"/>
    <mergeCell ref="Q8:Q10"/>
    <mergeCell ref="Q11:Q13"/>
    <mergeCell ref="A35:A43"/>
    <mergeCell ref="A8:A34"/>
    <mergeCell ref="P3:P6"/>
    <mergeCell ref="A3:B7"/>
    <mergeCell ref="J5:J6"/>
    <mergeCell ref="K5:K6"/>
    <mergeCell ref="L5:L6"/>
    <mergeCell ref="E5:E6"/>
    <mergeCell ref="C4:F4"/>
    <mergeCell ref="G4:I4"/>
    <mergeCell ref="C5:C6"/>
    <mergeCell ref="D5:D6"/>
    <mergeCell ref="F5:F6"/>
    <mergeCell ref="N5:N6"/>
    <mergeCell ref="O5:O6"/>
    <mergeCell ref="J3:O3"/>
    <mergeCell ref="J4:L4"/>
    <mergeCell ref="M4:O4"/>
    <mergeCell ref="H5:H6"/>
    <mergeCell ref="I5:I6"/>
    <mergeCell ref="C3:I3"/>
    <mergeCell ref="E8:E10"/>
    <mergeCell ref="E11:E13"/>
    <mergeCell ref="B8:B10"/>
    <mergeCell ref="C8:C10"/>
    <mergeCell ref="D8:D10"/>
    <mergeCell ref="F8:F10"/>
    <mergeCell ref="B14:B16"/>
    <mergeCell ref="C14:C16"/>
    <mergeCell ref="D14:D16"/>
    <mergeCell ref="B11:B13"/>
    <mergeCell ref="C11:C13"/>
    <mergeCell ref="J17:J19"/>
    <mergeCell ref="F26:F28"/>
    <mergeCell ref="D11:D13"/>
    <mergeCell ref="J20:J22"/>
    <mergeCell ref="B17:B19"/>
    <mergeCell ref="C17:C19"/>
    <mergeCell ref="D17:D19"/>
    <mergeCell ref="F17:F19"/>
    <mergeCell ref="E17:E19"/>
    <mergeCell ref="E14:E16"/>
    <mergeCell ref="D20:D22"/>
    <mergeCell ref="F20:F22"/>
    <mergeCell ref="C29:C31"/>
    <mergeCell ref="D29:D31"/>
    <mergeCell ref="F29:F31"/>
    <mergeCell ref="D23:D25"/>
    <mergeCell ref="J29:J31"/>
    <mergeCell ref="J26:J28"/>
    <mergeCell ref="D26:D28"/>
    <mergeCell ref="B20:B22"/>
    <mergeCell ref="C20:C22"/>
    <mergeCell ref="B26:B28"/>
    <mergeCell ref="C26:C28"/>
    <mergeCell ref="B23:B25"/>
    <mergeCell ref="C23:C25"/>
    <mergeCell ref="B29:B31"/>
    <mergeCell ref="C38:C40"/>
    <mergeCell ref="D38:D40"/>
    <mergeCell ref="F38:F40"/>
    <mergeCell ref="E38:E40"/>
    <mergeCell ref="E32:E34"/>
    <mergeCell ref="E41:E43"/>
    <mergeCell ref="A44:B44"/>
    <mergeCell ref="P41:P43"/>
    <mergeCell ref="P38:P40"/>
    <mergeCell ref="B41:B43"/>
    <mergeCell ref="C41:C43"/>
    <mergeCell ref="D41:D43"/>
    <mergeCell ref="F41:F43"/>
    <mergeCell ref="J41:J43"/>
    <mergeCell ref="J38:J40"/>
    <mergeCell ref="B38:B40"/>
    <mergeCell ref="B35:B37"/>
    <mergeCell ref="C35:C37"/>
    <mergeCell ref="D35:D37"/>
    <mergeCell ref="F35:F37"/>
    <mergeCell ref="E35:E37"/>
    <mergeCell ref="B32:B34"/>
    <mergeCell ref="C32:C34"/>
    <mergeCell ref="D32:D34"/>
    <mergeCell ref="Q14:Q16"/>
    <mergeCell ref="Q17:Q19"/>
    <mergeCell ref="P11:P13"/>
    <mergeCell ref="Q32:Q34"/>
    <mergeCell ref="Q35:Q37"/>
    <mergeCell ref="Q20:Q22"/>
    <mergeCell ref="Q23:Q25"/>
    <mergeCell ref="Q26:Q28"/>
    <mergeCell ref="Q29:Q31"/>
  </mergeCells>
  <phoneticPr fontId="2"/>
  <printOptions horizontalCentered="1"/>
  <pageMargins left="0.51181102362204722" right="0.47244094488188981" top="0.82677165354330717" bottom="0.98425196850393704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8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6" sqref="J6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95</v>
      </c>
      <c r="B8" s="52" t="s">
        <v>23</v>
      </c>
      <c r="C8" s="47">
        <v>1450</v>
      </c>
      <c r="D8" s="76"/>
      <c r="E8" s="49">
        <v>0.85</v>
      </c>
      <c r="F8" s="47">
        <f>ROUNDDOWN(C8*D8*E8,0)</f>
        <v>0</v>
      </c>
      <c r="G8" s="5"/>
      <c r="H8" s="5"/>
      <c r="I8" s="5"/>
      <c r="J8" s="24"/>
      <c r="K8" s="9">
        <f>ROUNDDOWN(G8*J8,0)</f>
        <v>0</v>
      </c>
      <c r="L8" s="47">
        <v>400</v>
      </c>
      <c r="M8" s="22"/>
      <c r="N8" s="5">
        <v>0</v>
      </c>
      <c r="O8" s="5">
        <v>0</v>
      </c>
      <c r="P8" s="22"/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288528</v>
      </c>
      <c r="H9" s="17">
        <v>12.25</v>
      </c>
      <c r="I9" s="36">
        <f>13.31/13.25</f>
        <v>1.0045283018867925</v>
      </c>
      <c r="J9" s="26"/>
      <c r="K9" s="9">
        <f t="shared" ref="K9:K43" si="0">ROUNDDOWN(G9*J9,0)</f>
        <v>0</v>
      </c>
      <c r="L9" s="47"/>
      <c r="M9" s="22"/>
      <c r="N9" s="5">
        <f>ROUNDDOWN(L8*M9*1,0)</f>
        <v>0</v>
      </c>
      <c r="O9" s="5">
        <v>0</v>
      </c>
      <c r="P9" s="22"/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178032</v>
      </c>
      <c r="H10" s="17">
        <v>9.81</v>
      </c>
      <c r="I10" s="36">
        <f>8.93/8.87</f>
        <v>1.0067643742953778</v>
      </c>
      <c r="J10" s="26"/>
      <c r="K10" s="9">
        <f t="shared" si="0"/>
        <v>0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/>
      <c r="E11" s="49">
        <v>0.85</v>
      </c>
      <c r="F11" s="47">
        <f>ROUNDDOWN(C11*D11*E11,0)</f>
        <v>0</v>
      </c>
      <c r="G11" s="5"/>
      <c r="H11" s="5"/>
      <c r="I11" s="5"/>
      <c r="J11" s="24"/>
      <c r="K11" s="9">
        <f>ROUNDDOWN(G11*J11,0)</f>
        <v>0</v>
      </c>
      <c r="L11" s="47">
        <v>400</v>
      </c>
      <c r="M11" s="22"/>
      <c r="N11" s="5">
        <v>0</v>
      </c>
      <c r="O11" s="5">
        <v>0</v>
      </c>
      <c r="P11" s="22"/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333144</v>
      </c>
      <c r="H12" s="17">
        <v>12.25</v>
      </c>
      <c r="I12" s="36">
        <f>13.31/13.25</f>
        <v>1.0045283018867925</v>
      </c>
      <c r="J12" s="26"/>
      <c r="K12" s="9">
        <f t="shared" si="0"/>
        <v>0</v>
      </c>
      <c r="L12" s="47"/>
      <c r="M12" s="22"/>
      <c r="N12" s="5">
        <f>ROUNDDOWN(L11*M12*1,0)</f>
        <v>0</v>
      </c>
      <c r="O12" s="5">
        <v>0</v>
      </c>
      <c r="P12" s="22"/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191282</v>
      </c>
      <c r="H13" s="17">
        <v>9.81</v>
      </c>
      <c r="I13" s="36">
        <f>8.93/8.87</f>
        <v>1.0067643742953778</v>
      </c>
      <c r="J13" s="26"/>
      <c r="K13" s="9">
        <f t="shared" si="0"/>
        <v>0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/>
      <c r="E14" s="49">
        <v>0.85</v>
      </c>
      <c r="F14" s="47">
        <f t="shared" ref="F14" si="2">ROUNDDOWN(C14*D14*E14,0)</f>
        <v>0</v>
      </c>
      <c r="G14" s="5"/>
      <c r="H14" s="5"/>
      <c r="I14" s="5"/>
      <c r="J14" s="24"/>
      <c r="K14" s="9">
        <f>ROUNDDOWN(G14*J14,0)</f>
        <v>0</v>
      </c>
      <c r="L14" s="47">
        <v>400</v>
      </c>
      <c r="M14" s="22"/>
      <c r="N14" s="5">
        <v>0</v>
      </c>
      <c r="O14" s="5">
        <v>0</v>
      </c>
      <c r="P14" s="22"/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403368</v>
      </c>
      <c r="H15" s="17">
        <v>12.25</v>
      </c>
      <c r="I15" s="36">
        <f>13.31/13.25</f>
        <v>1.0045283018867925</v>
      </c>
      <c r="J15" s="26"/>
      <c r="K15" s="9">
        <f t="shared" si="0"/>
        <v>0</v>
      </c>
      <c r="L15" s="47"/>
      <c r="M15" s="22"/>
      <c r="N15" s="5">
        <f>ROUNDDOWN(L14*M15*1,0)</f>
        <v>0</v>
      </c>
      <c r="O15" s="5">
        <v>0</v>
      </c>
      <c r="P15" s="22"/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220740</v>
      </c>
      <c r="H16" s="17">
        <v>9.81</v>
      </c>
      <c r="I16" s="36">
        <f>8.93/8.87</f>
        <v>1.0067643742953778</v>
      </c>
      <c r="J16" s="26"/>
      <c r="K16" s="9">
        <f t="shared" si="0"/>
        <v>0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/>
      <c r="E17" s="49">
        <v>0.85</v>
      </c>
      <c r="F17" s="47">
        <f t="shared" ref="F17" si="3">ROUNDDOWN(C17*D17*E17,0)</f>
        <v>0</v>
      </c>
      <c r="G17" s="5">
        <v>80921</v>
      </c>
      <c r="H17" s="17">
        <v>13</v>
      </c>
      <c r="I17" s="36">
        <f>16.67/16.61</f>
        <v>1.0036122817579773</v>
      </c>
      <c r="J17" s="26"/>
      <c r="K17" s="9">
        <f>ROUNDDOWN(G17*J17,0)</f>
        <v>0</v>
      </c>
      <c r="L17" s="47">
        <v>400</v>
      </c>
      <c r="M17" s="22"/>
      <c r="N17" s="5">
        <v>0</v>
      </c>
      <c r="O17" s="5">
        <v>0</v>
      </c>
      <c r="P17" s="22"/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388807</v>
      </c>
      <c r="H18" s="17">
        <v>13</v>
      </c>
      <c r="I18" s="36">
        <f>14.25/14.19</f>
        <v>1.0042283298097252</v>
      </c>
      <c r="J18" s="26"/>
      <c r="K18" s="9">
        <f t="shared" si="0"/>
        <v>0</v>
      </c>
      <c r="L18" s="47"/>
      <c r="M18" s="22"/>
      <c r="N18" s="5">
        <f>ROUNDDOWN(L17*M18*1,0)</f>
        <v>0</v>
      </c>
      <c r="O18" s="5">
        <v>0</v>
      </c>
      <c r="P18" s="22"/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273929</v>
      </c>
      <c r="H19" s="17">
        <v>9.81</v>
      </c>
      <c r="I19" s="36">
        <f>8.93/8.87</f>
        <v>1.0067643742953778</v>
      </c>
      <c r="J19" s="26"/>
      <c r="K19" s="9">
        <f t="shared" si="0"/>
        <v>0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/>
      <c r="E20" s="49">
        <v>0.85</v>
      </c>
      <c r="F20" s="47">
        <f t="shared" ref="F20" si="4">ROUNDDOWN(C20*D20*E20,0)</f>
        <v>0</v>
      </c>
      <c r="G20" s="5">
        <v>81422</v>
      </c>
      <c r="H20" s="17">
        <v>13</v>
      </c>
      <c r="I20" s="36">
        <f>16.67/16.61</f>
        <v>1.0036122817579773</v>
      </c>
      <c r="J20" s="26"/>
      <c r="K20" s="9">
        <f>ROUNDDOWN(G20*J20,0)</f>
        <v>0</v>
      </c>
      <c r="L20" s="47">
        <v>400</v>
      </c>
      <c r="M20" s="22"/>
      <c r="N20" s="5">
        <v>0</v>
      </c>
      <c r="O20" s="5">
        <v>0</v>
      </c>
      <c r="P20" s="22"/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396322</v>
      </c>
      <c r="H21" s="17">
        <v>13</v>
      </c>
      <c r="I21" s="36">
        <f>14.25/14.19</f>
        <v>1.0042283298097252</v>
      </c>
      <c r="J21" s="26"/>
      <c r="K21" s="9">
        <f t="shared" si="0"/>
        <v>0</v>
      </c>
      <c r="L21" s="47"/>
      <c r="M21" s="22"/>
      <c r="N21" s="5">
        <f>ROUNDDOWN(L20*M21*1,0)</f>
        <v>0</v>
      </c>
      <c r="O21" s="5">
        <v>0</v>
      </c>
      <c r="P21" s="22"/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288924</v>
      </c>
      <c r="H22" s="17">
        <v>9.81</v>
      </c>
      <c r="I22" s="36">
        <f>8.93/8.87</f>
        <v>1.0067643742953778</v>
      </c>
      <c r="J22" s="26"/>
      <c r="K22" s="9">
        <f t="shared" si="0"/>
        <v>0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/>
      <c r="E23" s="49">
        <v>0.85</v>
      </c>
      <c r="F23" s="47">
        <f t="shared" ref="F23" si="5">ROUNDDOWN(C23*D23*E23,0)</f>
        <v>0</v>
      </c>
      <c r="G23" s="5">
        <v>81628</v>
      </c>
      <c r="H23" s="17">
        <v>13</v>
      </c>
      <c r="I23" s="36">
        <f>16.67/16.61</f>
        <v>1.0036122817579773</v>
      </c>
      <c r="J23" s="26"/>
      <c r="K23" s="9">
        <f>ROUNDDOWN(G23*J23,0)</f>
        <v>0</v>
      </c>
      <c r="L23" s="47">
        <v>400</v>
      </c>
      <c r="M23" s="22"/>
      <c r="N23" s="5">
        <v>0</v>
      </c>
      <c r="O23" s="5">
        <v>0</v>
      </c>
      <c r="P23" s="22"/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354284</v>
      </c>
      <c r="H24" s="17">
        <v>13</v>
      </c>
      <c r="I24" s="36">
        <f>14.25/14.19</f>
        <v>1.0042283298097252</v>
      </c>
      <c r="J24" s="26"/>
      <c r="K24" s="9">
        <f t="shared" si="0"/>
        <v>0</v>
      </c>
      <c r="L24" s="47"/>
      <c r="M24" s="22"/>
      <c r="N24" s="5">
        <f>ROUNDDOWN(L23*M24*1,0)</f>
        <v>0</v>
      </c>
      <c r="O24" s="5">
        <v>0</v>
      </c>
      <c r="P24" s="22"/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266136</v>
      </c>
      <c r="H25" s="17">
        <v>9.81</v>
      </c>
      <c r="I25" s="36">
        <f>8.93/8.87</f>
        <v>1.0067643742953778</v>
      </c>
      <c r="J25" s="26"/>
      <c r="K25" s="9">
        <f t="shared" si="0"/>
        <v>0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/>
      <c r="E26" s="49">
        <v>0.85</v>
      </c>
      <c r="F26" s="47">
        <f t="shared" ref="F26" si="6">ROUNDDOWN(C26*D26*E26,0)</f>
        <v>0</v>
      </c>
      <c r="G26" s="5"/>
      <c r="H26" s="5"/>
      <c r="I26" s="5"/>
      <c r="J26" s="24"/>
      <c r="K26" s="9">
        <f>ROUNDDOWN(G26*J26,0)</f>
        <v>0</v>
      </c>
      <c r="L26" s="47">
        <v>400</v>
      </c>
      <c r="M26" s="22"/>
      <c r="N26" s="5">
        <v>0</v>
      </c>
      <c r="O26" s="5">
        <v>0</v>
      </c>
      <c r="P26" s="22"/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355968</v>
      </c>
      <c r="H27" s="17">
        <v>12.25</v>
      </c>
      <c r="I27" s="36">
        <f>13.31/13.25</f>
        <v>1.0045283018867925</v>
      </c>
      <c r="J27" s="26"/>
      <c r="K27" s="9">
        <f t="shared" si="0"/>
        <v>0</v>
      </c>
      <c r="L27" s="47"/>
      <c r="M27" s="22"/>
      <c r="N27" s="5">
        <f>ROUNDDOWN(L26*M27*1,0)</f>
        <v>0</v>
      </c>
      <c r="O27" s="5">
        <v>0</v>
      </c>
      <c r="P27" s="22"/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219941</v>
      </c>
      <c r="H28" s="17">
        <v>9.81</v>
      </c>
      <c r="I28" s="36">
        <f>8.93/8.87</f>
        <v>1.0067643742953778</v>
      </c>
      <c r="J28" s="26"/>
      <c r="K28" s="9">
        <f t="shared" si="0"/>
        <v>0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/>
      <c r="E29" s="49">
        <v>0.85</v>
      </c>
      <c r="F29" s="47">
        <f t="shared" ref="F29" si="7">ROUNDDOWN(C29*D29*E29,0)</f>
        <v>0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22"/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262601</v>
      </c>
      <c r="H30" s="17">
        <v>12.25</v>
      </c>
      <c r="I30" s="36">
        <f>13.31/13.25</f>
        <v>1.0045283018867925</v>
      </c>
      <c r="J30" s="26"/>
      <c r="K30" s="9">
        <f t="shared" si="0"/>
        <v>0</v>
      </c>
      <c r="L30" s="47"/>
      <c r="M30" s="22"/>
      <c r="N30" s="5">
        <f>ROUNDDOWN(L29*M30*1,0)</f>
        <v>0</v>
      </c>
      <c r="O30" s="5">
        <v>0</v>
      </c>
      <c r="P30" s="22"/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266097</v>
      </c>
      <c r="H31" s="17">
        <v>9.81</v>
      </c>
      <c r="I31" s="36">
        <f>8.93/8.87</f>
        <v>1.0067643742953778</v>
      </c>
      <c r="J31" s="26"/>
      <c r="K31" s="9">
        <f t="shared" si="0"/>
        <v>0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/>
      <c r="E32" s="49">
        <v>0.85</v>
      </c>
      <c r="F32" s="47">
        <f t="shared" ref="F32" si="8">ROUNDDOWN(C32*D32*E32,0)</f>
        <v>0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22"/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342432</v>
      </c>
      <c r="H33" s="17">
        <v>12.25</v>
      </c>
      <c r="I33" s="36">
        <f>13.31/13.25</f>
        <v>1.0045283018867925</v>
      </c>
      <c r="J33" s="26"/>
      <c r="K33" s="9">
        <f t="shared" si="0"/>
        <v>0</v>
      </c>
      <c r="L33" s="47"/>
      <c r="M33" s="22"/>
      <c r="N33" s="5">
        <f>ROUNDDOWN(L32*M33*1,0)</f>
        <v>0</v>
      </c>
      <c r="O33" s="5">
        <v>0</v>
      </c>
      <c r="P33" s="22"/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211886</v>
      </c>
      <c r="H34" s="17">
        <v>9.81</v>
      </c>
      <c r="I34" s="36">
        <f>8.93/8.87</f>
        <v>1.0067643742953778</v>
      </c>
      <c r="J34" s="26"/>
      <c r="K34" s="9">
        <f t="shared" si="0"/>
        <v>0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/>
      <c r="E35" s="49">
        <v>0.85</v>
      </c>
      <c r="F35" s="47">
        <f t="shared" ref="F35" si="9">ROUNDDOWN(C35*D35*E35,0)</f>
        <v>0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22"/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369720</v>
      </c>
      <c r="H36" s="17">
        <v>12.25</v>
      </c>
      <c r="I36" s="36">
        <f>13.31/13.25</f>
        <v>1.0045283018867925</v>
      </c>
      <c r="J36" s="26"/>
      <c r="K36" s="9">
        <f t="shared" si="0"/>
        <v>0</v>
      </c>
      <c r="L36" s="47"/>
      <c r="M36" s="22"/>
      <c r="N36" s="5">
        <f>ROUNDDOWN(L35*M36*1,0)</f>
        <v>0</v>
      </c>
      <c r="O36" s="5">
        <v>0</v>
      </c>
      <c r="P36" s="22"/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225430</v>
      </c>
      <c r="H37" s="17">
        <v>9.81</v>
      </c>
      <c r="I37" s="36">
        <f>8.93/8.87</f>
        <v>1.0067643742953778</v>
      </c>
      <c r="J37" s="26"/>
      <c r="K37" s="9">
        <f t="shared" si="0"/>
        <v>0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/>
      <c r="E38" s="49">
        <v>0.85</v>
      </c>
      <c r="F38" s="47">
        <f t="shared" ref="F38" si="10">ROUNDDOWN(C38*D38*E38,0)</f>
        <v>0</v>
      </c>
      <c r="G38" s="5"/>
      <c r="H38" s="5"/>
      <c r="I38" s="5"/>
      <c r="J38" s="24"/>
      <c r="K38" s="9">
        <f>ROUNDDOWN(G38*J38,0)</f>
        <v>0</v>
      </c>
      <c r="L38" s="47">
        <v>400</v>
      </c>
      <c r="M38" s="22"/>
      <c r="N38" s="5">
        <v>0</v>
      </c>
      <c r="O38" s="5">
        <v>0</v>
      </c>
      <c r="P38" s="22"/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304008</v>
      </c>
      <c r="H39" s="17">
        <v>12.25</v>
      </c>
      <c r="I39" s="36">
        <f>13.31/13.25</f>
        <v>1.0045283018867925</v>
      </c>
      <c r="J39" s="26"/>
      <c r="K39" s="9">
        <f t="shared" si="0"/>
        <v>0</v>
      </c>
      <c r="L39" s="47"/>
      <c r="M39" s="22"/>
      <c r="N39" s="5">
        <f>ROUNDDOWN(L38*M39*1,0)</f>
        <v>0</v>
      </c>
      <c r="O39" s="5">
        <v>0</v>
      </c>
      <c r="P39" s="22"/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190546</v>
      </c>
      <c r="H40" s="17">
        <v>9.81</v>
      </c>
      <c r="I40" s="36">
        <f>8.93/8.87</f>
        <v>1.0067643742953778</v>
      </c>
      <c r="J40" s="26"/>
      <c r="K40" s="9">
        <f t="shared" si="0"/>
        <v>0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/>
      <c r="E41" s="49">
        <v>0.85</v>
      </c>
      <c r="F41" s="47">
        <f t="shared" ref="F41" si="11">ROUNDDOWN(C41*D41*E41,0)</f>
        <v>0</v>
      </c>
      <c r="G41" s="5"/>
      <c r="H41" s="5"/>
      <c r="I41" s="5"/>
      <c r="J41" s="24"/>
      <c r="K41" s="9">
        <f>ROUNDDOWN(G41*J41,0)</f>
        <v>0</v>
      </c>
      <c r="L41" s="47">
        <v>400</v>
      </c>
      <c r="M41" s="22"/>
      <c r="N41" s="5">
        <v>0</v>
      </c>
      <c r="O41" s="5">
        <v>0</v>
      </c>
      <c r="P41" s="22"/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307776</v>
      </c>
      <c r="H42" s="17">
        <v>12.25</v>
      </c>
      <c r="I42" s="36">
        <f>13.31/13.25</f>
        <v>1.0045283018867925</v>
      </c>
      <c r="J42" s="26"/>
      <c r="K42" s="9">
        <f t="shared" si="0"/>
        <v>0</v>
      </c>
      <c r="L42" s="47"/>
      <c r="M42" s="22"/>
      <c r="N42" s="5">
        <f>ROUNDDOWN(L41*M42*1,0)</f>
        <v>0</v>
      </c>
      <c r="O42" s="5">
        <v>0</v>
      </c>
      <c r="P42" s="22"/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198156</v>
      </c>
      <c r="H43" s="17">
        <v>9.81</v>
      </c>
      <c r="I43" s="36">
        <f>8.93/8.87</f>
        <v>1.0067643742953778</v>
      </c>
      <c r="J43" s="26"/>
      <c r="K43" s="9">
        <f t="shared" si="0"/>
        <v>0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0</v>
      </c>
      <c r="G44" s="5">
        <f>SUM(G8:G43)</f>
        <v>7082028</v>
      </c>
      <c r="H44" s="5"/>
      <c r="I44" s="5"/>
      <c r="J44" s="19"/>
      <c r="K44" s="9">
        <f>SUM(K8:K43)</f>
        <v>0</v>
      </c>
      <c r="L44" s="6"/>
      <c r="M44" s="29"/>
      <c r="N44" s="27">
        <f>SUM(N8:N43)</f>
        <v>0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0</v>
      </c>
      <c r="Q45" s="92"/>
      <c r="S45" s="100"/>
      <c r="T45" s="100"/>
      <c r="U45" s="101"/>
      <c r="V45" s="102"/>
    </row>
    <row r="46" spans="1:22" ht="13.5" customHeight="1">
      <c r="A46" s="90" t="s">
        <v>91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0</v>
      </c>
      <c r="Q46" s="92"/>
    </row>
    <row r="47" spans="1:22" ht="17.25" customHeight="1">
      <c r="A47" s="90" t="s">
        <v>94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 t="s">
        <v>93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7F8A-0BBB-42C1-BDF3-C367FBFE5CBA}">
  <sheetPr>
    <pageSetUpPr fitToPage="1"/>
  </sheetPr>
  <dimension ref="A1:V58"/>
  <sheetViews>
    <sheetView view="pageBreakPreview" zoomScaleNormal="100" zoomScaleSheetLayoutView="100" workbookViewId="0">
      <pane xSplit="2" ySplit="1" topLeftCell="K32" activePane="bottomRight" state="frozen"/>
      <selection pane="topRight" activeCell="C1" sqref="C1"/>
      <selection pane="bottomLeft" activeCell="A2" sqref="A2"/>
      <selection pane="bottomRight" activeCell="M15" sqref="M15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98</v>
      </c>
      <c r="B8" s="52" t="s">
        <v>23</v>
      </c>
      <c r="C8" s="47">
        <v>1450</v>
      </c>
      <c r="D8" s="76">
        <v>2142.7800000000002</v>
      </c>
      <c r="E8" s="49">
        <v>0.85</v>
      </c>
      <c r="F8" s="47">
        <f>ROUNDDOWN(C8*D8*E8,0)</f>
        <v>2640976</v>
      </c>
      <c r="G8" s="5"/>
      <c r="H8" s="5"/>
      <c r="I8" s="5"/>
      <c r="J8" s="24"/>
      <c r="K8" s="9">
        <f t="shared" ref="K8:K15" si="0">ROUNDDOWN(G8*J8,0)</f>
        <v>0</v>
      </c>
      <c r="L8" s="47">
        <v>400</v>
      </c>
      <c r="M8" s="22"/>
      <c r="N8" s="5">
        <v>0</v>
      </c>
      <c r="O8" s="5">
        <v>0</v>
      </c>
      <c r="P8" s="22">
        <v>15.85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236721</v>
      </c>
      <c r="H9" s="17">
        <v>12.25</v>
      </c>
      <c r="I9" s="36">
        <f>13.31/13.25</f>
        <v>1.0045283018867925</v>
      </c>
      <c r="J9" s="26">
        <v>16.32</v>
      </c>
      <c r="K9" s="9">
        <f t="shared" si="0"/>
        <v>3863286</v>
      </c>
      <c r="L9" s="47"/>
      <c r="M9" s="22">
        <v>1145</v>
      </c>
      <c r="N9" s="5">
        <f>ROUNDDOWN(L8*M9*1,0)</f>
        <v>458000</v>
      </c>
      <c r="O9" s="5">
        <v>0</v>
      </c>
      <c r="P9" s="22">
        <v>18.41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250301</v>
      </c>
      <c r="H10" s="17">
        <v>9.81</v>
      </c>
      <c r="I10" s="36">
        <f>8.93/8.87</f>
        <v>1.0067643742953778</v>
      </c>
      <c r="J10" s="26">
        <v>15.17</v>
      </c>
      <c r="K10" s="9">
        <f t="shared" si="0"/>
        <v>3797066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2142.7800000000002</v>
      </c>
      <c r="E11" s="49">
        <v>0.85</v>
      </c>
      <c r="F11" s="47">
        <f>ROUNDDOWN(C11*D11*E11,0)</f>
        <v>2640976</v>
      </c>
      <c r="G11" s="5"/>
      <c r="H11" s="5"/>
      <c r="I11" s="5"/>
      <c r="J11" s="24"/>
      <c r="K11" s="9">
        <f t="shared" si="0"/>
        <v>0</v>
      </c>
      <c r="L11" s="47">
        <v>400</v>
      </c>
      <c r="M11" s="22"/>
      <c r="N11" s="5">
        <v>0</v>
      </c>
      <c r="O11" s="5">
        <v>0</v>
      </c>
      <c r="P11" s="22">
        <v>15.85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241950</v>
      </c>
      <c r="H12" s="17">
        <v>12.25</v>
      </c>
      <c r="I12" s="36">
        <f>13.31/13.25</f>
        <v>1.0045283018867925</v>
      </c>
      <c r="J12" s="26">
        <v>16.32</v>
      </c>
      <c r="K12" s="9">
        <f t="shared" si="0"/>
        <v>3948624</v>
      </c>
      <c r="L12" s="47"/>
      <c r="M12" s="22">
        <v>1145</v>
      </c>
      <c r="N12" s="5">
        <f>ROUNDDOWN(L11*M12*1,0)</f>
        <v>458000</v>
      </c>
      <c r="O12" s="5">
        <v>0</v>
      </c>
      <c r="P12" s="22">
        <v>18.41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293648</v>
      </c>
      <c r="H13" s="17">
        <v>9.81</v>
      </c>
      <c r="I13" s="36">
        <f>8.93/8.87</f>
        <v>1.0067643742953778</v>
      </c>
      <c r="J13" s="26">
        <v>15.17</v>
      </c>
      <c r="K13" s="9">
        <f t="shared" si="0"/>
        <v>4454640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>
        <v>2142.7800000000002</v>
      </c>
      <c r="E14" s="49">
        <v>0.85</v>
      </c>
      <c r="F14" s="47">
        <f t="shared" ref="F14" si="2">ROUNDDOWN(C14*D14*E14,0)</f>
        <v>2640976</v>
      </c>
      <c r="G14" s="5"/>
      <c r="H14" s="5"/>
      <c r="I14" s="5"/>
      <c r="J14" s="24"/>
      <c r="K14" s="9">
        <f t="shared" si="0"/>
        <v>0</v>
      </c>
      <c r="L14" s="47">
        <v>400</v>
      </c>
      <c r="M14" s="22"/>
      <c r="N14" s="5">
        <v>0</v>
      </c>
      <c r="O14" s="5">
        <v>0</v>
      </c>
      <c r="P14" s="22">
        <v>15.85</v>
      </c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342065</v>
      </c>
      <c r="H15" s="17">
        <v>12.25</v>
      </c>
      <c r="I15" s="36">
        <f>13.31/13.25</f>
        <v>1.0045283018867925</v>
      </c>
      <c r="J15" s="26">
        <v>16.32</v>
      </c>
      <c r="K15" s="9">
        <f t="shared" si="0"/>
        <v>5582500</v>
      </c>
      <c r="L15" s="47"/>
      <c r="M15" s="22">
        <v>1145</v>
      </c>
      <c r="N15" s="5">
        <f>ROUNDDOWN(L14*M15*1,0)</f>
        <v>458000</v>
      </c>
      <c r="O15" s="5">
        <v>0</v>
      </c>
      <c r="P15" s="22">
        <v>18.41</v>
      </c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288343</v>
      </c>
      <c r="H16" s="17">
        <v>9.81</v>
      </c>
      <c r="I16" s="36">
        <f>8.93/8.87</f>
        <v>1.0067643742953778</v>
      </c>
      <c r="J16" s="26">
        <v>15.17</v>
      </c>
      <c r="K16" s="9">
        <f t="shared" ref="K16:K37" si="3">ROUNDDOWN(G16*J16,0)</f>
        <v>4374163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>
        <v>2142.7800000000002</v>
      </c>
      <c r="E17" s="49">
        <v>0.85</v>
      </c>
      <c r="F17" s="47">
        <f t="shared" ref="F17" si="4">ROUNDDOWN(C17*D17*E17,0)</f>
        <v>2640976</v>
      </c>
      <c r="G17" s="5">
        <v>84692</v>
      </c>
      <c r="H17" s="17">
        <v>13</v>
      </c>
      <c r="I17" s="36">
        <f>16.67/16.61</f>
        <v>1.0036122817579773</v>
      </c>
      <c r="J17" s="26">
        <v>19.739999999999998</v>
      </c>
      <c r="K17" s="9">
        <f>ROUNDDOWN(G17*J17,0)</f>
        <v>1671820</v>
      </c>
      <c r="L17" s="47">
        <v>400</v>
      </c>
      <c r="M17" s="22"/>
      <c r="N17" s="5">
        <v>0</v>
      </c>
      <c r="O17" s="5">
        <v>0</v>
      </c>
      <c r="P17" s="22">
        <v>16.87</v>
      </c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308761</v>
      </c>
      <c r="H18" s="17">
        <v>13</v>
      </c>
      <c r="I18" s="36">
        <f>14.25/14.19</f>
        <v>1.0042283298097252</v>
      </c>
      <c r="J18" s="26">
        <v>17.27</v>
      </c>
      <c r="K18" s="9">
        <f t="shared" si="3"/>
        <v>5332302</v>
      </c>
      <c r="L18" s="47"/>
      <c r="M18" s="22">
        <v>1145</v>
      </c>
      <c r="N18" s="5">
        <f>ROUNDDOWN(L17*M18*1,0)</f>
        <v>458000</v>
      </c>
      <c r="O18" s="5">
        <v>0</v>
      </c>
      <c r="P18" s="22">
        <v>19.71</v>
      </c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362441</v>
      </c>
      <c r="H19" s="17">
        <v>9.81</v>
      </c>
      <c r="I19" s="36">
        <f>8.93/8.87</f>
        <v>1.0067643742953778</v>
      </c>
      <c r="J19" s="26">
        <v>15.17</v>
      </c>
      <c r="K19" s="9">
        <f t="shared" ref="K19:K27" si="5">ROUNDDOWN(G19*J19,0)</f>
        <v>5498229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>
        <v>2142.7800000000002</v>
      </c>
      <c r="E20" s="49">
        <v>0.85</v>
      </c>
      <c r="F20" s="47">
        <f t="shared" ref="F20" si="6">ROUNDDOWN(C20*D20*E20,0)</f>
        <v>2640976</v>
      </c>
      <c r="G20" s="5">
        <v>80456</v>
      </c>
      <c r="H20" s="17">
        <v>13</v>
      </c>
      <c r="I20" s="36">
        <f>16.67/16.61</f>
        <v>1.0036122817579773</v>
      </c>
      <c r="J20" s="26">
        <v>19.739999999999998</v>
      </c>
      <c r="K20" s="9">
        <f t="shared" si="5"/>
        <v>1588201</v>
      </c>
      <c r="L20" s="47">
        <v>400</v>
      </c>
      <c r="M20" s="22"/>
      <c r="N20" s="5">
        <v>0</v>
      </c>
      <c r="O20" s="5">
        <v>0</v>
      </c>
      <c r="P20" s="22">
        <v>16.87</v>
      </c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305438</v>
      </c>
      <c r="H21" s="17">
        <v>13</v>
      </c>
      <c r="I21" s="36">
        <f>14.25/14.19</f>
        <v>1.0042283298097252</v>
      </c>
      <c r="J21" s="26">
        <v>17.27</v>
      </c>
      <c r="K21" s="9">
        <f t="shared" si="5"/>
        <v>5274914</v>
      </c>
      <c r="L21" s="47"/>
      <c r="M21" s="22">
        <v>1145</v>
      </c>
      <c r="N21" s="5">
        <f>ROUNDDOWN(L20*M21*1,0)</f>
        <v>458000</v>
      </c>
      <c r="O21" s="5">
        <v>0</v>
      </c>
      <c r="P21" s="22">
        <v>19.71</v>
      </c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381856</v>
      </c>
      <c r="H22" s="17">
        <v>9.81</v>
      </c>
      <c r="I22" s="36">
        <f>8.93/8.87</f>
        <v>1.0067643742953778</v>
      </c>
      <c r="J22" s="26">
        <v>15.17</v>
      </c>
      <c r="K22" s="9">
        <f t="shared" si="5"/>
        <v>5792755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>
        <v>2142.7800000000002</v>
      </c>
      <c r="E23" s="49">
        <v>0.85</v>
      </c>
      <c r="F23" s="47">
        <f t="shared" ref="F23" si="7">ROUNDDOWN(C23*D23*E23,0)</f>
        <v>2640976</v>
      </c>
      <c r="G23" s="5">
        <v>77118</v>
      </c>
      <c r="H23" s="17">
        <v>13</v>
      </c>
      <c r="I23" s="36">
        <f>16.67/16.61</f>
        <v>1.0036122817579773</v>
      </c>
      <c r="J23" s="26">
        <v>19.739999999999998</v>
      </c>
      <c r="K23" s="9">
        <f t="shared" si="5"/>
        <v>1522309</v>
      </c>
      <c r="L23" s="47">
        <v>400</v>
      </c>
      <c r="M23" s="22"/>
      <c r="N23" s="5">
        <v>0</v>
      </c>
      <c r="O23" s="5">
        <v>0</v>
      </c>
      <c r="P23" s="22">
        <v>16.87</v>
      </c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270106</v>
      </c>
      <c r="H24" s="17">
        <v>13</v>
      </c>
      <c r="I24" s="36">
        <f>14.25/14.19</f>
        <v>1.0042283298097252</v>
      </c>
      <c r="J24" s="26">
        <v>17.27</v>
      </c>
      <c r="K24" s="9">
        <f t="shared" si="5"/>
        <v>4664730</v>
      </c>
      <c r="L24" s="47"/>
      <c r="M24" s="22">
        <v>1145</v>
      </c>
      <c r="N24" s="5">
        <f>ROUNDDOWN(L23*M24*1,0)</f>
        <v>458000</v>
      </c>
      <c r="O24" s="5">
        <v>0</v>
      </c>
      <c r="P24" s="22">
        <v>19.71</v>
      </c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374691</v>
      </c>
      <c r="H25" s="17">
        <v>9.81</v>
      </c>
      <c r="I25" s="36">
        <f>8.93/8.87</f>
        <v>1.0067643742953778</v>
      </c>
      <c r="J25" s="26">
        <v>15.17</v>
      </c>
      <c r="K25" s="9">
        <f t="shared" si="5"/>
        <v>5684062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>
        <v>2142.7800000000002</v>
      </c>
      <c r="E26" s="49">
        <v>0.85</v>
      </c>
      <c r="F26" s="47">
        <f t="shared" ref="F26" si="8">ROUNDDOWN(C26*D26*E26,0)</f>
        <v>2640976</v>
      </c>
      <c r="G26" s="5"/>
      <c r="H26" s="5"/>
      <c r="I26" s="5"/>
      <c r="J26" s="24"/>
      <c r="K26" s="9">
        <f t="shared" si="5"/>
        <v>0</v>
      </c>
      <c r="L26" s="47">
        <v>400</v>
      </c>
      <c r="M26" s="22"/>
      <c r="N26" s="5">
        <v>0</v>
      </c>
      <c r="O26" s="5">
        <v>0</v>
      </c>
      <c r="P26" s="22">
        <v>15.85</v>
      </c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341135</v>
      </c>
      <c r="H27" s="17">
        <v>12.25</v>
      </c>
      <c r="I27" s="36">
        <f>13.31/13.25</f>
        <v>1.0045283018867925</v>
      </c>
      <c r="J27" s="26">
        <v>16.32</v>
      </c>
      <c r="K27" s="9">
        <f t="shared" si="5"/>
        <v>5567323</v>
      </c>
      <c r="L27" s="47"/>
      <c r="M27" s="22">
        <v>1145</v>
      </c>
      <c r="N27" s="5">
        <f>ROUNDDOWN(L26*M27*1,0)</f>
        <v>458000</v>
      </c>
      <c r="O27" s="5">
        <v>0</v>
      </c>
      <c r="P27" s="22">
        <v>18.41</v>
      </c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297255</v>
      </c>
      <c r="H28" s="17">
        <v>9.81</v>
      </c>
      <c r="I28" s="36">
        <f>8.93/8.87</f>
        <v>1.0067643742953778</v>
      </c>
      <c r="J28" s="26">
        <v>15.17</v>
      </c>
      <c r="K28" s="9">
        <f t="shared" si="3"/>
        <v>4509358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>
        <v>2142.7800000000002</v>
      </c>
      <c r="E29" s="49">
        <v>0.85</v>
      </c>
      <c r="F29" s="47">
        <f t="shared" ref="F29" si="9">ROUNDDOWN(C29*D29*E29,0)</f>
        <v>2640976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22">
        <v>15.85</v>
      </c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260591</v>
      </c>
      <c r="H30" s="17">
        <v>12.25</v>
      </c>
      <c r="I30" s="36">
        <f>13.31/13.25</f>
        <v>1.0045283018867925</v>
      </c>
      <c r="J30" s="26">
        <v>16.32</v>
      </c>
      <c r="K30" s="9">
        <f t="shared" si="3"/>
        <v>4252845</v>
      </c>
      <c r="L30" s="47"/>
      <c r="M30" s="22">
        <v>1145</v>
      </c>
      <c r="N30" s="5">
        <f>ROUNDDOWN(L29*M30*1,0)</f>
        <v>458000</v>
      </c>
      <c r="O30" s="5">
        <v>0</v>
      </c>
      <c r="P30" s="22">
        <v>18.41</v>
      </c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265820</v>
      </c>
      <c r="H31" s="17">
        <v>9.81</v>
      </c>
      <c r="I31" s="36">
        <f>8.93/8.87</f>
        <v>1.0067643742953778</v>
      </c>
      <c r="J31" s="26">
        <v>15.17</v>
      </c>
      <c r="K31" s="9">
        <f>ROUNDDOWN(G31*J31,0)</f>
        <v>4032489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>
        <v>2142.7800000000002</v>
      </c>
      <c r="E32" s="49">
        <v>0.85</v>
      </c>
      <c r="F32" s="47">
        <f t="shared" ref="F32" si="10">ROUNDDOWN(C32*D32*E32,0)</f>
        <v>2640976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22">
        <v>15.85</v>
      </c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264779</v>
      </c>
      <c r="H33" s="17">
        <v>12.25</v>
      </c>
      <c r="I33" s="36">
        <f>13.31/13.25</f>
        <v>1.0045283018867925</v>
      </c>
      <c r="J33" s="26">
        <v>16.32</v>
      </c>
      <c r="K33" s="9">
        <f>ROUNDDOWN(G33*J33,0)</f>
        <v>4321193</v>
      </c>
      <c r="L33" s="47"/>
      <c r="M33" s="22">
        <v>1145</v>
      </c>
      <c r="N33" s="5">
        <f>ROUNDDOWN(L32*M33*1,0)</f>
        <v>458000</v>
      </c>
      <c r="O33" s="5">
        <v>0</v>
      </c>
      <c r="P33" s="22">
        <v>18.41</v>
      </c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297992</v>
      </c>
      <c r="H34" s="17">
        <v>9.81</v>
      </c>
      <c r="I34" s="36">
        <f>8.93/8.87</f>
        <v>1.0067643742953778</v>
      </c>
      <c r="J34" s="26">
        <v>15.17</v>
      </c>
      <c r="K34" s="9">
        <f>ROUNDDOWN(G34*J34,0)</f>
        <v>4520538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>
        <v>2142.7800000000002</v>
      </c>
      <c r="E35" s="49">
        <v>0.85</v>
      </c>
      <c r="F35" s="47">
        <f t="shared" ref="F35" si="11">ROUNDDOWN(C35*D35*E35,0)</f>
        <v>2640976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22">
        <v>15.85</v>
      </c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260443</v>
      </c>
      <c r="H36" s="17">
        <v>12.25</v>
      </c>
      <c r="I36" s="36">
        <f>13.31/13.25</f>
        <v>1.0045283018867925</v>
      </c>
      <c r="J36" s="26">
        <v>16.32</v>
      </c>
      <c r="K36" s="9">
        <f t="shared" si="3"/>
        <v>4250429</v>
      </c>
      <c r="L36" s="47"/>
      <c r="M36" s="22">
        <v>1145</v>
      </c>
      <c r="N36" s="5">
        <f>ROUNDDOWN(L35*M36*1,0)</f>
        <v>458000</v>
      </c>
      <c r="O36" s="5">
        <v>0</v>
      </c>
      <c r="P36" s="22">
        <v>18.41</v>
      </c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303749</v>
      </c>
      <c r="H37" s="17">
        <v>9.81</v>
      </c>
      <c r="I37" s="36">
        <f>8.93/8.87</f>
        <v>1.0067643742953778</v>
      </c>
      <c r="J37" s="26">
        <v>15.17</v>
      </c>
      <c r="K37" s="9">
        <f t="shared" si="3"/>
        <v>4607872</v>
      </c>
      <c r="L37" s="47"/>
      <c r="M37" s="40"/>
      <c r="N37" s="6">
        <v>9</v>
      </c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>
        <v>2142.7800000000002</v>
      </c>
      <c r="E38" s="49">
        <v>0.85</v>
      </c>
      <c r="F38" s="47">
        <f t="shared" ref="F38" si="12">ROUNDDOWN(C38*D38*E38,0)</f>
        <v>2640976</v>
      </c>
      <c r="G38" s="5"/>
      <c r="H38" s="5"/>
      <c r="I38" s="5"/>
      <c r="J38" s="24"/>
      <c r="K38" s="9">
        <f t="shared" ref="K38:K43" si="13">ROUNDDOWN(G38*J38,0)</f>
        <v>0</v>
      </c>
      <c r="L38" s="47">
        <v>400</v>
      </c>
      <c r="M38" s="22"/>
      <c r="N38" s="5">
        <v>0</v>
      </c>
      <c r="O38" s="5">
        <v>0</v>
      </c>
      <c r="P38" s="22">
        <v>15.85</v>
      </c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242909</v>
      </c>
      <c r="H39" s="17">
        <v>12.25</v>
      </c>
      <c r="I39" s="36">
        <f>13.31/13.25</f>
        <v>1.0045283018867925</v>
      </c>
      <c r="J39" s="26">
        <v>16.32</v>
      </c>
      <c r="K39" s="9">
        <f t="shared" si="13"/>
        <v>3964274</v>
      </c>
      <c r="L39" s="47"/>
      <c r="M39" s="22">
        <v>1145</v>
      </c>
      <c r="N39" s="5">
        <f>ROUNDDOWN(L38*M39*1,0)</f>
        <v>458000</v>
      </c>
      <c r="O39" s="5">
        <v>0</v>
      </c>
      <c r="P39" s="22">
        <v>18.41</v>
      </c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242054</v>
      </c>
      <c r="H40" s="17">
        <v>9.81</v>
      </c>
      <c r="I40" s="36">
        <f>8.93/8.87</f>
        <v>1.0067643742953778</v>
      </c>
      <c r="J40" s="26">
        <v>15.17</v>
      </c>
      <c r="K40" s="9">
        <f t="shared" si="13"/>
        <v>3671959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>
        <v>2142.7800000000002</v>
      </c>
      <c r="E41" s="49">
        <v>0.85</v>
      </c>
      <c r="F41" s="47">
        <f t="shared" ref="F41" si="14">ROUNDDOWN(C41*D41*E41,0)</f>
        <v>2640976</v>
      </c>
      <c r="G41" s="5"/>
      <c r="H41" s="5"/>
      <c r="I41" s="5"/>
      <c r="J41" s="24"/>
      <c r="K41" s="9">
        <f t="shared" si="13"/>
        <v>0</v>
      </c>
      <c r="L41" s="47">
        <v>400</v>
      </c>
      <c r="M41" s="22"/>
      <c r="N41" s="5">
        <v>0</v>
      </c>
      <c r="O41" s="5">
        <v>0</v>
      </c>
      <c r="P41" s="22">
        <v>15.85</v>
      </c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250116</v>
      </c>
      <c r="H42" s="17">
        <v>12.25</v>
      </c>
      <c r="I42" s="36">
        <f>13.31/13.25</f>
        <v>1.0045283018867925</v>
      </c>
      <c r="J42" s="26">
        <v>16.32</v>
      </c>
      <c r="K42" s="9">
        <f t="shared" si="13"/>
        <v>4081893</v>
      </c>
      <c r="L42" s="47"/>
      <c r="M42" s="22">
        <v>1145</v>
      </c>
      <c r="N42" s="5">
        <f>ROUNDDOWN(L41*M42*1,0)</f>
        <v>458000</v>
      </c>
      <c r="O42" s="5">
        <v>0</v>
      </c>
      <c r="P42" s="22">
        <v>18.41</v>
      </c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254064</v>
      </c>
      <c r="H43" s="17">
        <v>9.81</v>
      </c>
      <c r="I43" s="36">
        <f>8.93/8.87</f>
        <v>1.0067643742953778</v>
      </c>
      <c r="J43" s="26">
        <v>15.17</v>
      </c>
      <c r="K43" s="9">
        <f t="shared" si="13"/>
        <v>3854150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31691712</v>
      </c>
      <c r="G44" s="5">
        <f>SUM(G8:G43)</f>
        <v>7179494</v>
      </c>
      <c r="H44" s="5"/>
      <c r="I44" s="5"/>
      <c r="J44" s="19"/>
      <c r="K44" s="9">
        <f>SUM(K8:K43)</f>
        <v>114683924</v>
      </c>
      <c r="L44" s="6"/>
      <c r="M44" s="29"/>
      <c r="N44" s="27">
        <f>SUM(N8:N43)</f>
        <v>5496009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151871645</v>
      </c>
      <c r="Q45" s="92"/>
      <c r="S45" s="100"/>
      <c r="T45" s="100"/>
      <c r="U45" s="101"/>
      <c r="V45" s="102"/>
    </row>
    <row r="46" spans="1:22" ht="13.5" customHeight="1">
      <c r="A46" s="90" t="s">
        <v>96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138065132</v>
      </c>
      <c r="Q46" s="92"/>
    </row>
    <row r="47" spans="1:22" ht="17.2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4E03-0C46-4720-9340-9704D82287E3}">
  <sheetPr>
    <pageSetUpPr fitToPage="1"/>
  </sheetPr>
  <dimension ref="A1:V58"/>
  <sheetViews>
    <sheetView view="pageBreakPreview" zoomScaleNormal="100" zoomScaleSheetLayoutView="100" workbookViewId="0">
      <pane xSplit="2" ySplit="1" topLeftCell="D26" activePane="bottomRight" state="frozen"/>
      <selection pane="topRight" activeCell="C1" sqref="C1"/>
      <selection pane="bottomLeft" activeCell="A2" sqref="A2"/>
      <selection pane="bottomRight" activeCell="A8" sqref="A8:A43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98</v>
      </c>
      <c r="B8" s="52" t="s">
        <v>23</v>
      </c>
      <c r="C8" s="47">
        <v>1450</v>
      </c>
      <c r="D8" s="76"/>
      <c r="E8" s="49">
        <v>0.85</v>
      </c>
      <c r="F8" s="47">
        <f>ROUNDDOWN(C8*D8*E8,0)</f>
        <v>0</v>
      </c>
      <c r="G8" s="5"/>
      <c r="H8" s="5"/>
      <c r="I8" s="5"/>
      <c r="J8" s="24"/>
      <c r="K8" s="9">
        <f t="shared" ref="K8:K43" si="0">ROUNDDOWN(G8*J8,0)</f>
        <v>0</v>
      </c>
      <c r="L8" s="47">
        <v>400</v>
      </c>
      <c r="M8" s="22"/>
      <c r="N8" s="5">
        <v>0</v>
      </c>
      <c r="O8" s="5">
        <v>0</v>
      </c>
      <c r="P8" s="22"/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236721</v>
      </c>
      <c r="H9" s="17">
        <v>12.25</v>
      </c>
      <c r="I9" s="36">
        <f>13.31/13.25</f>
        <v>1.0045283018867925</v>
      </c>
      <c r="J9" s="26"/>
      <c r="K9" s="9">
        <f t="shared" si="0"/>
        <v>0</v>
      </c>
      <c r="L9" s="47"/>
      <c r="M9" s="22"/>
      <c r="N9" s="5">
        <f>ROUNDDOWN(L8*M9*1,0)</f>
        <v>0</v>
      </c>
      <c r="O9" s="5">
        <v>0</v>
      </c>
      <c r="P9" s="22"/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250301</v>
      </c>
      <c r="H10" s="17">
        <v>9.81</v>
      </c>
      <c r="I10" s="36">
        <f>8.93/8.87</f>
        <v>1.0067643742953778</v>
      </c>
      <c r="J10" s="26"/>
      <c r="K10" s="9">
        <f t="shared" si="0"/>
        <v>0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/>
      <c r="E11" s="49">
        <v>0.85</v>
      </c>
      <c r="F11" s="47">
        <f>ROUNDDOWN(C11*D11*E11,0)</f>
        <v>0</v>
      </c>
      <c r="G11" s="5"/>
      <c r="H11" s="5"/>
      <c r="I11" s="5"/>
      <c r="J11" s="24"/>
      <c r="K11" s="9">
        <f t="shared" si="0"/>
        <v>0</v>
      </c>
      <c r="L11" s="47">
        <v>400</v>
      </c>
      <c r="M11" s="22"/>
      <c r="N11" s="5">
        <v>0</v>
      </c>
      <c r="O11" s="5">
        <v>0</v>
      </c>
      <c r="P11" s="22"/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241950</v>
      </c>
      <c r="H12" s="17">
        <v>12.25</v>
      </c>
      <c r="I12" s="36">
        <f>13.31/13.25</f>
        <v>1.0045283018867925</v>
      </c>
      <c r="J12" s="26"/>
      <c r="K12" s="9">
        <f t="shared" si="0"/>
        <v>0</v>
      </c>
      <c r="L12" s="47"/>
      <c r="M12" s="22"/>
      <c r="N12" s="5">
        <f>ROUNDDOWN(L11*M12*1,0)</f>
        <v>0</v>
      </c>
      <c r="O12" s="5">
        <v>0</v>
      </c>
      <c r="P12" s="22"/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293648</v>
      </c>
      <c r="H13" s="17">
        <v>9.81</v>
      </c>
      <c r="I13" s="36">
        <f>8.93/8.87</f>
        <v>1.0067643742953778</v>
      </c>
      <c r="J13" s="26"/>
      <c r="K13" s="9">
        <f t="shared" si="0"/>
        <v>0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/>
      <c r="E14" s="49">
        <v>0.85</v>
      </c>
      <c r="F14" s="47">
        <f t="shared" ref="F14" si="2">ROUNDDOWN(C14*D14*E14,0)</f>
        <v>0</v>
      </c>
      <c r="G14" s="5"/>
      <c r="H14" s="5"/>
      <c r="I14" s="5"/>
      <c r="J14" s="24"/>
      <c r="K14" s="9">
        <f t="shared" si="0"/>
        <v>0</v>
      </c>
      <c r="L14" s="47">
        <v>400</v>
      </c>
      <c r="M14" s="22"/>
      <c r="N14" s="5">
        <v>0</v>
      </c>
      <c r="O14" s="5">
        <v>0</v>
      </c>
      <c r="P14" s="22"/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342065</v>
      </c>
      <c r="H15" s="17">
        <v>12.25</v>
      </c>
      <c r="I15" s="36">
        <f>13.31/13.25</f>
        <v>1.0045283018867925</v>
      </c>
      <c r="J15" s="26"/>
      <c r="K15" s="9">
        <f t="shared" si="0"/>
        <v>0</v>
      </c>
      <c r="L15" s="47"/>
      <c r="M15" s="22"/>
      <c r="N15" s="5">
        <f>ROUNDDOWN(L14*M15*1,0)</f>
        <v>0</v>
      </c>
      <c r="O15" s="5">
        <v>0</v>
      </c>
      <c r="P15" s="22"/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288343</v>
      </c>
      <c r="H16" s="17">
        <v>9.81</v>
      </c>
      <c r="I16" s="36">
        <f>8.93/8.87</f>
        <v>1.0067643742953778</v>
      </c>
      <c r="J16" s="26"/>
      <c r="K16" s="9">
        <f t="shared" si="0"/>
        <v>0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/>
      <c r="E17" s="49">
        <v>0.85</v>
      </c>
      <c r="F17" s="47">
        <f t="shared" ref="F17" si="3">ROUNDDOWN(C17*D17*E17,0)</f>
        <v>0</v>
      </c>
      <c r="G17" s="5">
        <v>84692</v>
      </c>
      <c r="H17" s="17">
        <v>13</v>
      </c>
      <c r="I17" s="36">
        <f>16.67/16.61</f>
        <v>1.0036122817579773</v>
      </c>
      <c r="J17" s="26"/>
      <c r="K17" s="9">
        <f>ROUNDDOWN(G17*J17,0)</f>
        <v>0</v>
      </c>
      <c r="L17" s="47">
        <v>400</v>
      </c>
      <c r="M17" s="22"/>
      <c r="N17" s="5">
        <v>0</v>
      </c>
      <c r="O17" s="5">
        <v>0</v>
      </c>
      <c r="P17" s="22"/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308761</v>
      </c>
      <c r="H18" s="17">
        <v>13</v>
      </c>
      <c r="I18" s="36">
        <f>14.25/14.19</f>
        <v>1.0042283298097252</v>
      </c>
      <c r="J18" s="26"/>
      <c r="K18" s="9">
        <f t="shared" si="0"/>
        <v>0</v>
      </c>
      <c r="L18" s="47"/>
      <c r="M18" s="22"/>
      <c r="N18" s="5">
        <f>ROUNDDOWN(L17*M18*1,0)</f>
        <v>0</v>
      </c>
      <c r="O18" s="5">
        <v>0</v>
      </c>
      <c r="P18" s="22"/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362441</v>
      </c>
      <c r="H19" s="17">
        <v>9.81</v>
      </c>
      <c r="I19" s="36">
        <f>8.93/8.87</f>
        <v>1.0067643742953778</v>
      </c>
      <c r="J19" s="26"/>
      <c r="K19" s="9">
        <f t="shared" si="0"/>
        <v>0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/>
      <c r="E20" s="49">
        <v>0.85</v>
      </c>
      <c r="F20" s="47">
        <f t="shared" ref="F20" si="4">ROUNDDOWN(C20*D20*E20,0)</f>
        <v>0</v>
      </c>
      <c r="G20" s="5">
        <v>80456</v>
      </c>
      <c r="H20" s="17">
        <v>13</v>
      </c>
      <c r="I20" s="36">
        <f>16.67/16.61</f>
        <v>1.0036122817579773</v>
      </c>
      <c r="J20" s="26"/>
      <c r="K20" s="9">
        <f t="shared" si="0"/>
        <v>0</v>
      </c>
      <c r="L20" s="47">
        <v>400</v>
      </c>
      <c r="M20" s="22"/>
      <c r="N20" s="5">
        <v>0</v>
      </c>
      <c r="O20" s="5">
        <v>0</v>
      </c>
      <c r="P20" s="22"/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305438</v>
      </c>
      <c r="H21" s="17">
        <v>13</v>
      </c>
      <c r="I21" s="36">
        <f>14.25/14.19</f>
        <v>1.0042283298097252</v>
      </c>
      <c r="J21" s="26"/>
      <c r="K21" s="9">
        <f t="shared" si="0"/>
        <v>0</v>
      </c>
      <c r="L21" s="47"/>
      <c r="M21" s="22"/>
      <c r="N21" s="5">
        <f>ROUNDDOWN(L20*M21*1,0)</f>
        <v>0</v>
      </c>
      <c r="O21" s="5">
        <v>0</v>
      </c>
      <c r="P21" s="22"/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381856</v>
      </c>
      <c r="H22" s="17">
        <v>9.81</v>
      </c>
      <c r="I22" s="36">
        <f>8.93/8.87</f>
        <v>1.0067643742953778</v>
      </c>
      <c r="J22" s="26"/>
      <c r="K22" s="9">
        <f t="shared" si="0"/>
        <v>0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/>
      <c r="E23" s="49">
        <v>0.85</v>
      </c>
      <c r="F23" s="47">
        <f t="shared" ref="F23" si="5">ROUNDDOWN(C23*D23*E23,0)</f>
        <v>0</v>
      </c>
      <c r="G23" s="5">
        <v>77118</v>
      </c>
      <c r="H23" s="17">
        <v>13</v>
      </c>
      <c r="I23" s="36">
        <f>16.67/16.61</f>
        <v>1.0036122817579773</v>
      </c>
      <c r="J23" s="26"/>
      <c r="K23" s="9">
        <f t="shared" si="0"/>
        <v>0</v>
      </c>
      <c r="L23" s="47">
        <v>400</v>
      </c>
      <c r="M23" s="22"/>
      <c r="N23" s="5">
        <v>0</v>
      </c>
      <c r="O23" s="5">
        <v>0</v>
      </c>
      <c r="P23" s="22"/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270106</v>
      </c>
      <c r="H24" s="17">
        <v>13</v>
      </c>
      <c r="I24" s="36">
        <f>14.25/14.19</f>
        <v>1.0042283298097252</v>
      </c>
      <c r="J24" s="26"/>
      <c r="K24" s="9">
        <f t="shared" si="0"/>
        <v>0</v>
      </c>
      <c r="L24" s="47"/>
      <c r="M24" s="22"/>
      <c r="N24" s="5">
        <f>ROUNDDOWN(L23*M24*1,0)</f>
        <v>0</v>
      </c>
      <c r="O24" s="5">
        <v>0</v>
      </c>
      <c r="P24" s="22"/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374691</v>
      </c>
      <c r="H25" s="17">
        <v>9.81</v>
      </c>
      <c r="I25" s="36">
        <f>8.93/8.87</f>
        <v>1.0067643742953778</v>
      </c>
      <c r="J25" s="26"/>
      <c r="K25" s="9">
        <f t="shared" si="0"/>
        <v>0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/>
      <c r="E26" s="49">
        <v>0.85</v>
      </c>
      <c r="F26" s="47">
        <f t="shared" ref="F26" si="6">ROUNDDOWN(C26*D26*E26,0)</f>
        <v>0</v>
      </c>
      <c r="G26" s="5"/>
      <c r="H26" s="5"/>
      <c r="I26" s="5"/>
      <c r="J26" s="24"/>
      <c r="K26" s="9">
        <f t="shared" si="0"/>
        <v>0</v>
      </c>
      <c r="L26" s="47">
        <v>400</v>
      </c>
      <c r="M26" s="22"/>
      <c r="N26" s="5">
        <v>0</v>
      </c>
      <c r="O26" s="5">
        <v>0</v>
      </c>
      <c r="P26" s="22"/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341135</v>
      </c>
      <c r="H27" s="17">
        <v>12.25</v>
      </c>
      <c r="I27" s="36">
        <f>13.31/13.25</f>
        <v>1.0045283018867925</v>
      </c>
      <c r="J27" s="26"/>
      <c r="K27" s="9">
        <f t="shared" si="0"/>
        <v>0</v>
      </c>
      <c r="L27" s="47"/>
      <c r="M27" s="22"/>
      <c r="N27" s="5">
        <f>ROUNDDOWN(L26*M27*1,0)</f>
        <v>0</v>
      </c>
      <c r="O27" s="5">
        <v>0</v>
      </c>
      <c r="P27" s="22"/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297255</v>
      </c>
      <c r="H28" s="17">
        <v>9.81</v>
      </c>
      <c r="I28" s="36">
        <f>8.93/8.87</f>
        <v>1.0067643742953778</v>
      </c>
      <c r="J28" s="26"/>
      <c r="K28" s="9">
        <f t="shared" si="0"/>
        <v>0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/>
      <c r="E29" s="49">
        <v>0.85</v>
      </c>
      <c r="F29" s="47">
        <f t="shared" ref="F29" si="7">ROUNDDOWN(C29*D29*E29,0)</f>
        <v>0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22"/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260591</v>
      </c>
      <c r="H30" s="17">
        <v>12.25</v>
      </c>
      <c r="I30" s="36">
        <f>13.31/13.25</f>
        <v>1.0045283018867925</v>
      </c>
      <c r="J30" s="26"/>
      <c r="K30" s="9">
        <f t="shared" si="0"/>
        <v>0</v>
      </c>
      <c r="L30" s="47"/>
      <c r="M30" s="22"/>
      <c r="N30" s="5">
        <f>ROUNDDOWN(L29*M30*1,0)</f>
        <v>0</v>
      </c>
      <c r="O30" s="5">
        <v>0</v>
      </c>
      <c r="P30" s="22"/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265820</v>
      </c>
      <c r="H31" s="17">
        <v>9.81</v>
      </c>
      <c r="I31" s="36">
        <f>8.93/8.87</f>
        <v>1.0067643742953778</v>
      </c>
      <c r="J31" s="26"/>
      <c r="K31" s="9">
        <f>ROUNDDOWN(G31*J31,0)</f>
        <v>0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/>
      <c r="E32" s="49">
        <v>0.85</v>
      </c>
      <c r="F32" s="47">
        <f t="shared" ref="F32" si="8">ROUNDDOWN(C32*D32*E32,0)</f>
        <v>0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22"/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264779</v>
      </c>
      <c r="H33" s="17">
        <v>12.25</v>
      </c>
      <c r="I33" s="36">
        <f>13.31/13.25</f>
        <v>1.0045283018867925</v>
      </c>
      <c r="J33" s="26"/>
      <c r="K33" s="9">
        <f>ROUNDDOWN(G33*J33,0)</f>
        <v>0</v>
      </c>
      <c r="L33" s="47"/>
      <c r="M33" s="22"/>
      <c r="N33" s="5">
        <f>ROUNDDOWN(L32*M33*1,0)</f>
        <v>0</v>
      </c>
      <c r="O33" s="5">
        <v>0</v>
      </c>
      <c r="P33" s="22"/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297992</v>
      </c>
      <c r="H34" s="17">
        <v>9.81</v>
      </c>
      <c r="I34" s="36">
        <f>8.93/8.87</f>
        <v>1.0067643742953778</v>
      </c>
      <c r="J34" s="26"/>
      <c r="K34" s="9">
        <f>ROUNDDOWN(G34*J34,0)</f>
        <v>0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/>
      <c r="E35" s="49">
        <v>0.85</v>
      </c>
      <c r="F35" s="47">
        <f t="shared" ref="F35" si="9">ROUNDDOWN(C35*D35*E35,0)</f>
        <v>0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22"/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260443</v>
      </c>
      <c r="H36" s="17">
        <v>12.25</v>
      </c>
      <c r="I36" s="36">
        <f>13.31/13.25</f>
        <v>1.0045283018867925</v>
      </c>
      <c r="J36" s="26"/>
      <c r="K36" s="9">
        <f t="shared" si="0"/>
        <v>0</v>
      </c>
      <c r="L36" s="47"/>
      <c r="M36" s="22"/>
      <c r="N36" s="5">
        <f>ROUNDDOWN(L35*M36*1,0)</f>
        <v>0</v>
      </c>
      <c r="O36" s="5">
        <v>0</v>
      </c>
      <c r="P36" s="22"/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303749</v>
      </c>
      <c r="H37" s="17">
        <v>9.81</v>
      </c>
      <c r="I37" s="36">
        <f>8.93/8.87</f>
        <v>1.0067643742953778</v>
      </c>
      <c r="J37" s="26"/>
      <c r="K37" s="9">
        <f t="shared" si="0"/>
        <v>0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/>
      <c r="E38" s="49">
        <v>0.85</v>
      </c>
      <c r="F38" s="47">
        <f t="shared" ref="F38" si="10">ROUNDDOWN(C38*D38*E38,0)</f>
        <v>0</v>
      </c>
      <c r="G38" s="5"/>
      <c r="H38" s="5"/>
      <c r="I38" s="5"/>
      <c r="J38" s="24"/>
      <c r="K38" s="9">
        <f t="shared" si="0"/>
        <v>0</v>
      </c>
      <c r="L38" s="47">
        <v>400</v>
      </c>
      <c r="M38" s="22"/>
      <c r="N38" s="5">
        <v>0</v>
      </c>
      <c r="O38" s="5">
        <v>0</v>
      </c>
      <c r="P38" s="22"/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242909</v>
      </c>
      <c r="H39" s="17">
        <v>12.25</v>
      </c>
      <c r="I39" s="36">
        <f>13.31/13.25</f>
        <v>1.0045283018867925</v>
      </c>
      <c r="J39" s="26"/>
      <c r="K39" s="9">
        <f t="shared" si="0"/>
        <v>0</v>
      </c>
      <c r="L39" s="47"/>
      <c r="M39" s="22"/>
      <c r="N39" s="5">
        <f>ROUNDDOWN(L38*M39*1,0)</f>
        <v>0</v>
      </c>
      <c r="O39" s="5">
        <v>0</v>
      </c>
      <c r="P39" s="22"/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242054</v>
      </c>
      <c r="H40" s="17">
        <v>9.81</v>
      </c>
      <c r="I40" s="36">
        <f>8.93/8.87</f>
        <v>1.0067643742953778</v>
      </c>
      <c r="J40" s="26"/>
      <c r="K40" s="9">
        <f t="shared" si="0"/>
        <v>0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/>
      <c r="E41" s="49">
        <v>0.85</v>
      </c>
      <c r="F41" s="47">
        <f t="shared" ref="F41" si="11">ROUNDDOWN(C41*D41*E41,0)</f>
        <v>0</v>
      </c>
      <c r="G41" s="5"/>
      <c r="H41" s="5"/>
      <c r="I41" s="5"/>
      <c r="J41" s="24"/>
      <c r="K41" s="9">
        <f t="shared" si="0"/>
        <v>0</v>
      </c>
      <c r="L41" s="47">
        <v>400</v>
      </c>
      <c r="M41" s="22"/>
      <c r="N41" s="5">
        <v>0</v>
      </c>
      <c r="O41" s="5">
        <v>0</v>
      </c>
      <c r="P41" s="22"/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250116</v>
      </c>
      <c r="H42" s="17">
        <v>12.25</v>
      </c>
      <c r="I42" s="36">
        <f>13.31/13.25</f>
        <v>1.0045283018867925</v>
      </c>
      <c r="J42" s="26"/>
      <c r="K42" s="9">
        <f t="shared" si="0"/>
        <v>0</v>
      </c>
      <c r="L42" s="47"/>
      <c r="M42" s="22"/>
      <c r="N42" s="5">
        <f>ROUNDDOWN(L41*M42*1,0)</f>
        <v>0</v>
      </c>
      <c r="O42" s="5">
        <v>0</v>
      </c>
      <c r="P42" s="22"/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254064</v>
      </c>
      <c r="H43" s="17">
        <v>9.81</v>
      </c>
      <c r="I43" s="36">
        <f>8.93/8.87</f>
        <v>1.0067643742953778</v>
      </c>
      <c r="J43" s="26"/>
      <c r="K43" s="9">
        <f t="shared" si="0"/>
        <v>0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0</v>
      </c>
      <c r="G44" s="5">
        <f>SUM(G8:G43)</f>
        <v>7179494</v>
      </c>
      <c r="H44" s="5"/>
      <c r="I44" s="5"/>
      <c r="J44" s="19"/>
      <c r="K44" s="9">
        <f>SUM(K8:K43)</f>
        <v>0</v>
      </c>
      <c r="L44" s="6"/>
      <c r="M44" s="29"/>
      <c r="N44" s="27">
        <f>SUM(N8:N43)</f>
        <v>0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0</v>
      </c>
      <c r="Q45" s="92"/>
      <c r="S45" s="100"/>
      <c r="T45" s="100"/>
      <c r="U45" s="101"/>
      <c r="V45" s="102"/>
    </row>
    <row r="46" spans="1:22" ht="13.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0</v>
      </c>
      <c r="Q46" s="92"/>
    </row>
    <row r="47" spans="1:22" ht="17.2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E38B-3EDE-4D15-B905-E7C98BA4FC9C}">
  <sheetPr>
    <pageSetUpPr fitToPage="1"/>
  </sheetPr>
  <dimension ref="A1:V58"/>
  <sheetViews>
    <sheetView view="pageBreakPreview" zoomScaleNormal="100" zoomScaleSheetLayoutView="100" workbookViewId="0">
      <pane xSplit="2" ySplit="1" topLeftCell="L41" activePane="bottomRight" state="frozen"/>
      <selection pane="topRight" activeCell="C1" sqref="C1"/>
      <selection pane="bottomLeft" activeCell="A2" sqref="A2"/>
      <selection pane="bottomRight" activeCell="R50" sqref="R50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98</v>
      </c>
      <c r="B8" s="52" t="s">
        <v>23</v>
      </c>
      <c r="C8" s="47">
        <v>1450</v>
      </c>
      <c r="D8" s="76">
        <v>2142.7800000000002</v>
      </c>
      <c r="E8" s="49">
        <v>0.85</v>
      </c>
      <c r="F8" s="47">
        <f>ROUNDDOWN(C8*D8*E8,0)</f>
        <v>2640976</v>
      </c>
      <c r="G8" s="5"/>
      <c r="H8" s="5"/>
      <c r="I8" s="5"/>
      <c r="J8" s="24"/>
      <c r="K8" s="9">
        <f t="shared" ref="K8:K43" si="0">ROUNDDOWN(G8*J8,0)</f>
        <v>0</v>
      </c>
      <c r="L8" s="47">
        <v>400</v>
      </c>
      <c r="M8" s="22"/>
      <c r="N8" s="5">
        <v>0</v>
      </c>
      <c r="O8" s="5">
        <v>0</v>
      </c>
      <c r="P8" s="22">
        <v>15.85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215121</v>
      </c>
      <c r="H9" s="17">
        <v>12.25</v>
      </c>
      <c r="I9" s="36">
        <f>13.31/13.25</f>
        <v>1.0045283018867925</v>
      </c>
      <c r="J9" s="26">
        <v>16.32</v>
      </c>
      <c r="K9" s="9">
        <f t="shared" si="0"/>
        <v>3510774</v>
      </c>
      <c r="L9" s="47"/>
      <c r="M9" s="22">
        <v>483.99</v>
      </c>
      <c r="N9" s="5">
        <f>ROUNDDOWN(L8*M9*1,0)</f>
        <v>193596</v>
      </c>
      <c r="O9" s="5">
        <v>0</v>
      </c>
      <c r="P9" s="22">
        <v>18.41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228701</v>
      </c>
      <c r="H10" s="17">
        <v>9.81</v>
      </c>
      <c r="I10" s="36">
        <f>8.93/8.87</f>
        <v>1.0067643742953778</v>
      </c>
      <c r="J10" s="26">
        <v>15.17</v>
      </c>
      <c r="K10" s="9">
        <f t="shared" si="0"/>
        <v>3469394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2142.7800000000002</v>
      </c>
      <c r="E11" s="49">
        <v>0.85</v>
      </c>
      <c r="F11" s="47">
        <f>ROUNDDOWN(C11*D11*E11,0)</f>
        <v>2640976</v>
      </c>
      <c r="G11" s="5"/>
      <c r="H11" s="5"/>
      <c r="I11" s="5"/>
      <c r="J11" s="24"/>
      <c r="K11" s="9">
        <f t="shared" si="0"/>
        <v>0</v>
      </c>
      <c r="L11" s="47">
        <v>400</v>
      </c>
      <c r="M11" s="22"/>
      <c r="N11" s="5">
        <v>0</v>
      </c>
      <c r="O11" s="5">
        <v>0</v>
      </c>
      <c r="P11" s="22">
        <v>15.85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f>220350</f>
        <v>220350</v>
      </c>
      <c r="H12" s="17">
        <v>12.25</v>
      </c>
      <c r="I12" s="36">
        <f>13.31/13.25</f>
        <v>1.0045283018867925</v>
      </c>
      <c r="J12" s="26">
        <v>16.32</v>
      </c>
      <c r="K12" s="9">
        <f t="shared" si="0"/>
        <v>3596112</v>
      </c>
      <c r="L12" s="47"/>
      <c r="M12" s="22">
        <v>483.99</v>
      </c>
      <c r="N12" s="5">
        <f>ROUNDDOWN(L11*M12*1,0)</f>
        <v>193596</v>
      </c>
      <c r="O12" s="5">
        <v>0</v>
      </c>
      <c r="P12" s="22">
        <v>18.41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f>288343-21600</f>
        <v>266743</v>
      </c>
      <c r="H13" s="17">
        <v>9.81</v>
      </c>
      <c r="I13" s="36">
        <f>8.93/8.87</f>
        <v>1.0067643742953778</v>
      </c>
      <c r="J13" s="26">
        <v>15.17</v>
      </c>
      <c r="K13" s="9">
        <f t="shared" si="0"/>
        <v>4046491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>
        <v>2142.7800000000002</v>
      </c>
      <c r="E14" s="49">
        <v>0.85</v>
      </c>
      <c r="F14" s="47">
        <f t="shared" ref="F14" si="2">ROUNDDOWN(C14*D14*E14,0)</f>
        <v>2640976</v>
      </c>
      <c r="G14" s="5"/>
      <c r="H14" s="5"/>
      <c r="I14" s="5"/>
      <c r="J14" s="24"/>
      <c r="K14" s="9">
        <f t="shared" si="0"/>
        <v>0</v>
      </c>
      <c r="L14" s="47">
        <v>400</v>
      </c>
      <c r="M14" s="22"/>
      <c r="N14" s="5">
        <v>0</v>
      </c>
      <c r="O14" s="5">
        <v>0</v>
      </c>
      <c r="P14" s="22">
        <v>15.85</v>
      </c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f>342065-21600</f>
        <v>320465</v>
      </c>
      <c r="H15" s="17">
        <v>12.25</v>
      </c>
      <c r="I15" s="36">
        <f>13.31/13.25</f>
        <v>1.0045283018867925</v>
      </c>
      <c r="J15" s="26">
        <v>16.32</v>
      </c>
      <c r="K15" s="9">
        <f t="shared" si="0"/>
        <v>5229988</v>
      </c>
      <c r="L15" s="47"/>
      <c r="M15" s="22">
        <v>483.99</v>
      </c>
      <c r="N15" s="5">
        <f>ROUNDDOWN(L14*M15*1,0)</f>
        <v>193596</v>
      </c>
      <c r="O15" s="5">
        <v>0</v>
      </c>
      <c r="P15" s="22">
        <v>18.41</v>
      </c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f>266743-21600</f>
        <v>245143</v>
      </c>
      <c r="H16" s="17">
        <v>9.81</v>
      </c>
      <c r="I16" s="36">
        <f>8.93/8.87</f>
        <v>1.0067643742953778</v>
      </c>
      <c r="J16" s="26">
        <v>15.17</v>
      </c>
      <c r="K16" s="9">
        <f t="shared" si="0"/>
        <v>3718819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>
        <v>2142.7800000000002</v>
      </c>
      <c r="E17" s="49">
        <v>0.85</v>
      </c>
      <c r="F17" s="47">
        <f t="shared" ref="F17" si="3">ROUNDDOWN(C17*D17*E17,0)</f>
        <v>2640976</v>
      </c>
      <c r="G17" s="5">
        <v>84692</v>
      </c>
      <c r="H17" s="17">
        <v>13</v>
      </c>
      <c r="I17" s="36">
        <f>16.67/16.61</f>
        <v>1.0036122817579773</v>
      </c>
      <c r="J17" s="26">
        <v>19.739999999999998</v>
      </c>
      <c r="K17" s="9">
        <f>ROUNDDOWN(G17*J17,0)</f>
        <v>1671820</v>
      </c>
      <c r="L17" s="47">
        <v>400</v>
      </c>
      <c r="M17" s="22"/>
      <c r="N17" s="5">
        <v>0</v>
      </c>
      <c r="O17" s="5">
        <v>0</v>
      </c>
      <c r="P17" s="22">
        <v>16.87</v>
      </c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308761</v>
      </c>
      <c r="H18" s="17">
        <v>13</v>
      </c>
      <c r="I18" s="36">
        <f>14.25/14.19</f>
        <v>1.0042283298097252</v>
      </c>
      <c r="J18" s="26">
        <v>17.27</v>
      </c>
      <c r="K18" s="9">
        <f t="shared" si="0"/>
        <v>5332302</v>
      </c>
      <c r="L18" s="47"/>
      <c r="M18" s="22">
        <v>483.99</v>
      </c>
      <c r="N18" s="5">
        <f>ROUNDDOWN(L17*M18*1,0)</f>
        <v>193596</v>
      </c>
      <c r="O18" s="5">
        <v>0</v>
      </c>
      <c r="P18" s="22">
        <v>19.71</v>
      </c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362441</v>
      </c>
      <c r="H19" s="17">
        <v>9.81</v>
      </c>
      <c r="I19" s="36">
        <f>8.93/8.87</f>
        <v>1.0067643742953778</v>
      </c>
      <c r="J19" s="26">
        <v>15.17</v>
      </c>
      <c r="K19" s="9">
        <f t="shared" si="0"/>
        <v>5498229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>
        <v>2142.7800000000002</v>
      </c>
      <c r="E20" s="49">
        <v>0.85</v>
      </c>
      <c r="F20" s="47">
        <f t="shared" ref="F20" si="4">ROUNDDOWN(C20*D20*E20,0)</f>
        <v>2640976</v>
      </c>
      <c r="G20" s="5">
        <v>80456</v>
      </c>
      <c r="H20" s="17">
        <v>13</v>
      </c>
      <c r="I20" s="36">
        <f>16.67/16.61</f>
        <v>1.0036122817579773</v>
      </c>
      <c r="J20" s="26">
        <v>19.739999999999998</v>
      </c>
      <c r="K20" s="9">
        <f t="shared" si="0"/>
        <v>1588201</v>
      </c>
      <c r="L20" s="47">
        <v>400</v>
      </c>
      <c r="M20" s="22"/>
      <c r="N20" s="5">
        <v>0</v>
      </c>
      <c r="O20" s="5">
        <v>0</v>
      </c>
      <c r="P20" s="22">
        <v>16.87</v>
      </c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305438</v>
      </c>
      <c r="H21" s="17">
        <v>13</v>
      </c>
      <c r="I21" s="36">
        <f>14.25/14.19</f>
        <v>1.0042283298097252</v>
      </c>
      <c r="J21" s="26">
        <v>17.27</v>
      </c>
      <c r="K21" s="9">
        <f t="shared" si="0"/>
        <v>5274914</v>
      </c>
      <c r="L21" s="47"/>
      <c r="M21" s="22">
        <v>483.99</v>
      </c>
      <c r="N21" s="5">
        <f>ROUNDDOWN(L20*M21*1,0)</f>
        <v>193596</v>
      </c>
      <c r="O21" s="5">
        <v>0</v>
      </c>
      <c r="P21" s="22">
        <v>19.71</v>
      </c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381856</v>
      </c>
      <c r="H22" s="17">
        <v>9.81</v>
      </c>
      <c r="I22" s="36">
        <f>8.93/8.87</f>
        <v>1.0067643742953778</v>
      </c>
      <c r="J22" s="26">
        <v>15.17</v>
      </c>
      <c r="K22" s="9">
        <f t="shared" si="0"/>
        <v>5792755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>
        <v>2142.7800000000002</v>
      </c>
      <c r="E23" s="49">
        <v>0.85</v>
      </c>
      <c r="F23" s="47">
        <f t="shared" ref="F23" si="5">ROUNDDOWN(C23*D23*E23,0)</f>
        <v>2640976</v>
      </c>
      <c r="G23" s="5">
        <v>77118</v>
      </c>
      <c r="H23" s="17">
        <v>13</v>
      </c>
      <c r="I23" s="36">
        <f>16.67/16.61</f>
        <v>1.0036122817579773</v>
      </c>
      <c r="J23" s="26">
        <v>19.739999999999998</v>
      </c>
      <c r="K23" s="9">
        <f t="shared" si="0"/>
        <v>1522309</v>
      </c>
      <c r="L23" s="47">
        <v>400</v>
      </c>
      <c r="M23" s="22"/>
      <c r="N23" s="5">
        <v>0</v>
      </c>
      <c r="O23" s="5">
        <v>0</v>
      </c>
      <c r="P23" s="22">
        <v>16.87</v>
      </c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f>270106-21600</f>
        <v>248506</v>
      </c>
      <c r="H24" s="17">
        <v>13</v>
      </c>
      <c r="I24" s="36">
        <f>14.25/14.19</f>
        <v>1.0042283298097252</v>
      </c>
      <c r="J24" s="26">
        <v>17.27</v>
      </c>
      <c r="K24" s="9">
        <f t="shared" si="0"/>
        <v>4291698</v>
      </c>
      <c r="L24" s="47"/>
      <c r="M24" s="22">
        <v>483.99</v>
      </c>
      <c r="N24" s="5">
        <f>ROUNDDOWN(L23*M24*1,0)</f>
        <v>193596</v>
      </c>
      <c r="O24" s="5">
        <v>0</v>
      </c>
      <c r="P24" s="22">
        <v>19.71</v>
      </c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f>374691-21600</f>
        <v>353091</v>
      </c>
      <c r="H25" s="17">
        <v>9.81</v>
      </c>
      <c r="I25" s="36">
        <f>8.93/8.87</f>
        <v>1.0067643742953778</v>
      </c>
      <c r="J25" s="26">
        <v>15.17</v>
      </c>
      <c r="K25" s="9">
        <f t="shared" si="0"/>
        <v>5356390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>
        <v>2142.7800000000002</v>
      </c>
      <c r="E26" s="49">
        <v>0.85</v>
      </c>
      <c r="F26" s="47">
        <f t="shared" ref="F26" si="6">ROUNDDOWN(C26*D26*E26,0)</f>
        <v>2640976</v>
      </c>
      <c r="G26" s="5"/>
      <c r="H26" s="5"/>
      <c r="I26" s="5"/>
      <c r="J26" s="24"/>
      <c r="K26" s="9">
        <f t="shared" si="0"/>
        <v>0</v>
      </c>
      <c r="L26" s="47">
        <v>400</v>
      </c>
      <c r="M26" s="22"/>
      <c r="N26" s="5">
        <v>0</v>
      </c>
      <c r="O26" s="5">
        <v>0</v>
      </c>
      <c r="P26" s="22">
        <v>15.85</v>
      </c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f>341135-21600</f>
        <v>319535</v>
      </c>
      <c r="H27" s="17">
        <v>12.25</v>
      </c>
      <c r="I27" s="36">
        <f>13.31/13.25</f>
        <v>1.0045283018867925</v>
      </c>
      <c r="J27" s="26">
        <v>16.32</v>
      </c>
      <c r="K27" s="9">
        <f t="shared" si="0"/>
        <v>5214811</v>
      </c>
      <c r="L27" s="47"/>
      <c r="M27" s="22">
        <v>483.99</v>
      </c>
      <c r="N27" s="5">
        <f>ROUNDDOWN(L26*M27*1,0)</f>
        <v>193596</v>
      </c>
      <c r="O27" s="5">
        <v>0</v>
      </c>
      <c r="P27" s="22">
        <v>18.41</v>
      </c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f>297255-21600</f>
        <v>275655</v>
      </c>
      <c r="H28" s="17">
        <v>9.81</v>
      </c>
      <c r="I28" s="36">
        <f>8.93/8.87</f>
        <v>1.0067643742953778</v>
      </c>
      <c r="J28" s="26">
        <v>15.17</v>
      </c>
      <c r="K28" s="9">
        <f t="shared" si="0"/>
        <v>4181686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>
        <v>2142.7800000000002</v>
      </c>
      <c r="E29" s="49">
        <v>0.85</v>
      </c>
      <c r="F29" s="47">
        <f t="shared" ref="F29" si="7">ROUNDDOWN(C29*D29*E29,0)</f>
        <v>2640976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22">
        <v>15.85</v>
      </c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238991</v>
      </c>
      <c r="H30" s="17">
        <v>12.25</v>
      </c>
      <c r="I30" s="36">
        <f>13.31/13.25</f>
        <v>1.0045283018867925</v>
      </c>
      <c r="J30" s="26">
        <v>16.32</v>
      </c>
      <c r="K30" s="9">
        <f t="shared" si="0"/>
        <v>3900333</v>
      </c>
      <c r="L30" s="47"/>
      <c r="M30" s="22">
        <v>483.99</v>
      </c>
      <c r="N30" s="5">
        <f>ROUNDDOWN(L29*M30*1,0)</f>
        <v>193596</v>
      </c>
      <c r="O30" s="5">
        <v>0</v>
      </c>
      <c r="P30" s="22">
        <v>18.41</v>
      </c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244220</v>
      </c>
      <c r="H31" s="17">
        <v>9.81</v>
      </c>
      <c r="I31" s="36">
        <f>8.93/8.87</f>
        <v>1.0067643742953778</v>
      </c>
      <c r="J31" s="26">
        <v>15.17</v>
      </c>
      <c r="K31" s="9">
        <f>ROUNDDOWN(G31*J31,0)</f>
        <v>3704817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>
        <v>2142.7800000000002</v>
      </c>
      <c r="E32" s="49">
        <v>0.85</v>
      </c>
      <c r="F32" s="47">
        <f t="shared" ref="F32" si="8">ROUNDDOWN(C32*D32*E32,0)</f>
        <v>2640976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22">
        <v>15.85</v>
      </c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264779</v>
      </c>
      <c r="H33" s="17">
        <v>12.25</v>
      </c>
      <c r="I33" s="36">
        <f>13.31/13.25</f>
        <v>1.0045283018867925</v>
      </c>
      <c r="J33" s="26">
        <v>16.32</v>
      </c>
      <c r="K33" s="9">
        <f>ROUNDDOWN(G33*J33,0)</f>
        <v>4321193</v>
      </c>
      <c r="L33" s="47"/>
      <c r="M33" s="22">
        <v>483.99</v>
      </c>
      <c r="N33" s="5">
        <f>ROUNDDOWN(L32*M33*1,0)</f>
        <v>193596</v>
      </c>
      <c r="O33" s="5">
        <v>0</v>
      </c>
      <c r="P33" s="22">
        <v>18.41</v>
      </c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297992</v>
      </c>
      <c r="H34" s="17">
        <v>9.81</v>
      </c>
      <c r="I34" s="36">
        <f>8.93/8.87</f>
        <v>1.0067643742953778</v>
      </c>
      <c r="J34" s="26">
        <v>15.17</v>
      </c>
      <c r="K34" s="9">
        <f>ROUNDDOWN(G34*J34,0)</f>
        <v>4520538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>
        <v>2142.7800000000002</v>
      </c>
      <c r="E35" s="49">
        <v>0.85</v>
      </c>
      <c r="F35" s="47">
        <f t="shared" ref="F35" si="9">ROUNDDOWN(C35*D35*E35,0)</f>
        <v>2640976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22">
        <v>15.85</v>
      </c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260443</v>
      </c>
      <c r="H36" s="17">
        <v>12.25</v>
      </c>
      <c r="I36" s="36">
        <f>13.31/13.25</f>
        <v>1.0045283018867925</v>
      </c>
      <c r="J36" s="26">
        <v>16.32</v>
      </c>
      <c r="K36" s="9">
        <f t="shared" si="0"/>
        <v>4250429</v>
      </c>
      <c r="L36" s="47"/>
      <c r="M36" s="22">
        <v>483.99</v>
      </c>
      <c r="N36" s="5">
        <f>ROUNDDOWN(L35*M36*1,0)</f>
        <v>193596</v>
      </c>
      <c r="O36" s="5">
        <v>0</v>
      </c>
      <c r="P36" s="22">
        <v>18.41</v>
      </c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303749</v>
      </c>
      <c r="H37" s="17">
        <v>9.81</v>
      </c>
      <c r="I37" s="36">
        <f>8.93/8.87</f>
        <v>1.0067643742953778</v>
      </c>
      <c r="J37" s="26">
        <v>15.17</v>
      </c>
      <c r="K37" s="9">
        <f t="shared" si="0"/>
        <v>4607872</v>
      </c>
      <c r="L37" s="47"/>
      <c r="M37" s="40"/>
      <c r="N37" s="6">
        <v>9</v>
      </c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>
        <v>2142.7800000000002</v>
      </c>
      <c r="E38" s="49">
        <v>0.85</v>
      </c>
      <c r="F38" s="47">
        <f t="shared" ref="F38" si="10">ROUNDDOWN(C38*D38*E38,0)</f>
        <v>2640976</v>
      </c>
      <c r="G38" s="5"/>
      <c r="H38" s="5"/>
      <c r="I38" s="5"/>
      <c r="J38" s="24"/>
      <c r="K38" s="9">
        <f t="shared" si="0"/>
        <v>0</v>
      </c>
      <c r="L38" s="47">
        <v>400</v>
      </c>
      <c r="M38" s="22"/>
      <c r="N38" s="5">
        <v>0</v>
      </c>
      <c r="O38" s="5">
        <v>0</v>
      </c>
      <c r="P38" s="22">
        <v>15.85</v>
      </c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242909</v>
      </c>
      <c r="H39" s="17">
        <v>12.25</v>
      </c>
      <c r="I39" s="36">
        <f>13.31/13.25</f>
        <v>1.0045283018867925</v>
      </c>
      <c r="J39" s="26">
        <v>16.32</v>
      </c>
      <c r="K39" s="9">
        <f>ROUNDDOWN(G39*J39,0)</f>
        <v>3964274</v>
      </c>
      <c r="L39" s="47"/>
      <c r="M39" s="22">
        <v>483.99</v>
      </c>
      <c r="N39" s="5">
        <f>ROUNDDOWN(L38*M39*1,0)</f>
        <v>193596</v>
      </c>
      <c r="O39" s="5">
        <v>0</v>
      </c>
      <c r="P39" s="22">
        <v>18.41</v>
      </c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242054</v>
      </c>
      <c r="H40" s="17">
        <v>9.81</v>
      </c>
      <c r="I40" s="36">
        <f>8.93/8.87</f>
        <v>1.0067643742953778</v>
      </c>
      <c r="J40" s="26">
        <v>15.17</v>
      </c>
      <c r="K40" s="9">
        <f t="shared" si="0"/>
        <v>3671959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>
        <v>2142.7800000000002</v>
      </c>
      <c r="E41" s="49">
        <v>0.85</v>
      </c>
      <c r="F41" s="47">
        <f t="shared" ref="F41" si="11">ROUNDDOWN(C41*D41*E41,0)</f>
        <v>2640976</v>
      </c>
      <c r="G41" s="5"/>
      <c r="H41" s="5"/>
      <c r="I41" s="5"/>
      <c r="J41" s="24"/>
      <c r="K41" s="9">
        <f t="shared" si="0"/>
        <v>0</v>
      </c>
      <c r="L41" s="47">
        <v>400</v>
      </c>
      <c r="M41" s="22"/>
      <c r="N41" s="5">
        <v>0</v>
      </c>
      <c r="O41" s="5">
        <v>0</v>
      </c>
      <c r="P41" s="22">
        <v>15.85</v>
      </c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f>250116-15000</f>
        <v>235116</v>
      </c>
      <c r="H42" s="17">
        <v>12.25</v>
      </c>
      <c r="I42" s="36">
        <f>13.31/13.25</f>
        <v>1.0045283018867925</v>
      </c>
      <c r="J42" s="26">
        <v>16.32</v>
      </c>
      <c r="K42" s="9">
        <f t="shared" si="0"/>
        <v>3837093</v>
      </c>
      <c r="L42" s="47"/>
      <c r="M42" s="22">
        <v>483.99</v>
      </c>
      <c r="N42" s="5">
        <f>ROUNDDOWN(L41*M42*1,0)</f>
        <v>193596</v>
      </c>
      <c r="O42" s="5">
        <v>0</v>
      </c>
      <c r="P42" s="22">
        <v>18.41</v>
      </c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f>254064-21600</f>
        <v>232464</v>
      </c>
      <c r="H43" s="17">
        <v>9.81</v>
      </c>
      <c r="I43" s="36">
        <f>8.93/8.87</f>
        <v>1.0067643742953778</v>
      </c>
      <c r="J43" s="26">
        <v>15.17</v>
      </c>
      <c r="K43" s="9">
        <f t="shared" si="0"/>
        <v>3526478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31691712</v>
      </c>
      <c r="G44" s="5">
        <f>SUM(G8:G43)</f>
        <v>6856789</v>
      </c>
      <c r="H44" s="5"/>
      <c r="I44" s="5"/>
      <c r="J44" s="19"/>
      <c r="K44" s="9">
        <f>SUM(K8:K43)</f>
        <v>109601679</v>
      </c>
      <c r="L44" s="6"/>
      <c r="M44" s="29"/>
      <c r="N44" s="27">
        <f>SUM(N8:N43)</f>
        <v>2323161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143616552</v>
      </c>
      <c r="Q45" s="92"/>
      <c r="S45" s="100"/>
      <c r="T45" s="100"/>
      <c r="U45" s="101"/>
      <c r="V45" s="102"/>
    </row>
    <row r="46" spans="1:22" ht="13.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130560502</v>
      </c>
      <c r="Q46" s="92"/>
    </row>
    <row r="47" spans="1:22" ht="17.2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1C6F-31D4-4B63-8CA3-E63BBAAE99DA}">
  <sheetPr>
    <pageSetUpPr fitToPage="1"/>
  </sheetPr>
  <dimension ref="A1:V58"/>
  <sheetViews>
    <sheetView tabSelected="1" view="pageBreakPreview" zoomScaleNormal="100" zoomScaleSheetLayoutView="100" workbookViewId="0">
      <pane xSplit="2" ySplit="1" topLeftCell="E17" activePane="bottomRight" state="frozen"/>
      <selection pane="topRight" activeCell="C1" sqref="C1"/>
      <selection pane="bottomLeft" activeCell="A2" sqref="A2"/>
      <selection pane="bottomRight" activeCell="N37" sqref="N37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100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101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98</v>
      </c>
      <c r="B8" s="52" t="s">
        <v>23</v>
      </c>
      <c r="C8" s="47">
        <v>1450</v>
      </c>
      <c r="D8" s="76"/>
      <c r="E8" s="49">
        <v>0.85</v>
      </c>
      <c r="F8" s="47">
        <f>ROUNDDOWN(C8*D8*E8,0)</f>
        <v>0</v>
      </c>
      <c r="G8" s="5"/>
      <c r="H8" s="5"/>
      <c r="I8" s="5"/>
      <c r="J8" s="24"/>
      <c r="K8" s="9">
        <f t="shared" ref="K8:K43" si="0">ROUNDDOWN(G8*J8,0)</f>
        <v>0</v>
      </c>
      <c r="L8" s="47">
        <v>400</v>
      </c>
      <c r="M8" s="22"/>
      <c r="N8" s="5">
        <v>0</v>
      </c>
      <c r="O8" s="5">
        <v>0</v>
      </c>
      <c r="P8" s="22"/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237983</v>
      </c>
      <c r="H9" s="17">
        <v>12.25</v>
      </c>
      <c r="I9" s="36">
        <f>13.31/13.25</f>
        <v>1.0045283018867925</v>
      </c>
      <c r="J9" s="26"/>
      <c r="K9" s="9">
        <f t="shared" si="0"/>
        <v>0</v>
      </c>
      <c r="L9" s="47"/>
      <c r="M9" s="22"/>
      <c r="N9" s="5">
        <f>ROUNDDOWN(L8*M9*1,0)</f>
        <v>0</v>
      </c>
      <c r="O9" s="5">
        <v>0</v>
      </c>
      <c r="P9" s="22"/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254689</v>
      </c>
      <c r="H10" s="17">
        <v>9.81</v>
      </c>
      <c r="I10" s="36">
        <f>8.93/8.87</f>
        <v>1.0067643742953778</v>
      </c>
      <c r="J10" s="26"/>
      <c r="K10" s="9">
        <f t="shared" si="0"/>
        <v>0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/>
      <c r="E11" s="49">
        <v>0.85</v>
      </c>
      <c r="F11" s="47">
        <f>ROUNDDOWN(C11*D11*E11,0)</f>
        <v>0</v>
      </c>
      <c r="G11" s="5"/>
      <c r="H11" s="5"/>
      <c r="I11" s="5"/>
      <c r="J11" s="24"/>
      <c r="K11" s="9">
        <f t="shared" si="0"/>
        <v>0</v>
      </c>
      <c r="L11" s="47">
        <v>400</v>
      </c>
      <c r="M11" s="22"/>
      <c r="N11" s="5">
        <v>0</v>
      </c>
      <c r="O11" s="5">
        <v>0</v>
      </c>
      <c r="P11" s="45"/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241755</v>
      </c>
      <c r="H12" s="17">
        <v>12.25</v>
      </c>
      <c r="I12" s="36">
        <f>13.31/13.25</f>
        <v>1.0045283018867925</v>
      </c>
      <c r="J12" s="26"/>
      <c r="K12" s="9">
        <f t="shared" si="0"/>
        <v>0</v>
      </c>
      <c r="L12" s="47"/>
      <c r="M12" s="45"/>
      <c r="N12" s="5">
        <f>ROUNDDOWN(L11*M12*1,0)</f>
        <v>0</v>
      </c>
      <c r="O12" s="5">
        <v>0</v>
      </c>
      <c r="P12" s="45"/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292912</v>
      </c>
      <c r="H13" s="17">
        <v>9.81</v>
      </c>
      <c r="I13" s="36">
        <f>8.93/8.87</f>
        <v>1.0067643742953778</v>
      </c>
      <c r="J13" s="26"/>
      <c r="K13" s="9">
        <f t="shared" si="0"/>
        <v>0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/>
      <c r="E14" s="49">
        <v>0.85</v>
      </c>
      <c r="F14" s="47">
        <f t="shared" ref="F14" si="2">ROUNDDOWN(C14*D14*E14,0)</f>
        <v>0</v>
      </c>
      <c r="G14" s="5"/>
      <c r="H14" s="5"/>
      <c r="I14" s="5"/>
      <c r="J14" s="24"/>
      <c r="K14" s="9">
        <f t="shared" si="0"/>
        <v>0</v>
      </c>
      <c r="L14" s="47">
        <v>400</v>
      </c>
      <c r="M14" s="22"/>
      <c r="N14" s="5">
        <v>0</v>
      </c>
      <c r="O14" s="5">
        <v>0</v>
      </c>
      <c r="P14" s="45"/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336980</v>
      </c>
      <c r="H15" s="17">
        <v>12.25</v>
      </c>
      <c r="I15" s="36">
        <f>13.31/13.25</f>
        <v>1.0045283018867925</v>
      </c>
      <c r="J15" s="26"/>
      <c r="K15" s="9">
        <f t="shared" si="0"/>
        <v>0</v>
      </c>
      <c r="L15" s="47"/>
      <c r="M15" s="45"/>
      <c r="N15" s="5">
        <f>ROUNDDOWN(L14*M15*1,0)</f>
        <v>0</v>
      </c>
      <c r="O15" s="5">
        <v>0</v>
      </c>
      <c r="P15" s="45"/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287793</v>
      </c>
      <c r="H16" s="17">
        <v>9.81</v>
      </c>
      <c r="I16" s="36">
        <f>8.93/8.87</f>
        <v>1.0067643742953778</v>
      </c>
      <c r="J16" s="26"/>
      <c r="K16" s="9">
        <f t="shared" si="0"/>
        <v>0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/>
      <c r="E17" s="49">
        <v>0.85</v>
      </c>
      <c r="F17" s="47">
        <f>ROUNDDOWN(C17*D17*E17,0)</f>
        <v>0</v>
      </c>
      <c r="G17" s="5">
        <v>88739</v>
      </c>
      <c r="H17" s="17">
        <v>13</v>
      </c>
      <c r="I17" s="36">
        <f>16.67/16.61</f>
        <v>1.0036122817579773</v>
      </c>
      <c r="J17" s="26"/>
      <c r="K17" s="9">
        <f>ROUNDDOWN(G17*J17,0)</f>
        <v>0</v>
      </c>
      <c r="L17" s="47">
        <v>400</v>
      </c>
      <c r="M17" s="22"/>
      <c r="N17" s="5">
        <v>0</v>
      </c>
      <c r="O17" s="5">
        <v>0</v>
      </c>
      <c r="P17" s="22"/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301599</v>
      </c>
      <c r="H18" s="17">
        <v>13</v>
      </c>
      <c r="I18" s="36">
        <f>14.25/14.19</f>
        <v>1.0042283298097252</v>
      </c>
      <c r="J18" s="26"/>
      <c r="K18" s="9">
        <f t="shared" si="0"/>
        <v>0</v>
      </c>
      <c r="L18" s="47"/>
      <c r="M18" s="45"/>
      <c r="N18" s="5">
        <f>ROUNDDOWN(L17*M18*1,0)</f>
        <v>0</v>
      </c>
      <c r="O18" s="5">
        <v>0</v>
      </c>
      <c r="P18" s="22"/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359172</v>
      </c>
      <c r="H19" s="17">
        <v>9.81</v>
      </c>
      <c r="I19" s="36">
        <f>8.93/8.87</f>
        <v>1.0067643742953778</v>
      </c>
      <c r="J19" s="26"/>
      <c r="K19" s="9">
        <f>ROUNDDOWN(G19*J19,0)</f>
        <v>0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/>
      <c r="E20" s="49">
        <v>0.85</v>
      </c>
      <c r="F20" s="47">
        <f t="shared" ref="F20" si="3">ROUNDDOWN(C20*D20*E20,0)</f>
        <v>0</v>
      </c>
      <c r="G20" s="5">
        <v>73879</v>
      </c>
      <c r="H20" s="17">
        <v>13</v>
      </c>
      <c r="I20" s="36">
        <f>16.67/16.61</f>
        <v>1.0036122817579773</v>
      </c>
      <c r="J20" s="26"/>
      <c r="K20" s="9">
        <f t="shared" si="0"/>
        <v>0</v>
      </c>
      <c r="L20" s="47">
        <v>400</v>
      </c>
      <c r="M20" s="22"/>
      <c r="N20" s="5">
        <v>0</v>
      </c>
      <c r="O20" s="5">
        <v>0</v>
      </c>
      <c r="P20" s="45"/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286868</v>
      </c>
      <c r="H21" s="17">
        <v>13</v>
      </c>
      <c r="I21" s="36">
        <f>14.25/14.19</f>
        <v>1.0042283298097252</v>
      </c>
      <c r="J21" s="26"/>
      <c r="K21" s="9">
        <f t="shared" si="0"/>
        <v>0</v>
      </c>
      <c r="L21" s="47"/>
      <c r="M21" s="45"/>
      <c r="N21" s="5">
        <f>ROUNDDOWN(L20*M21*1,0)</f>
        <v>0</v>
      </c>
      <c r="O21" s="5">
        <v>0</v>
      </c>
      <c r="P21" s="45"/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380703</v>
      </c>
      <c r="H22" s="17">
        <v>9.81</v>
      </c>
      <c r="I22" s="36">
        <f>8.93/8.87</f>
        <v>1.0067643742953778</v>
      </c>
      <c r="J22" s="26"/>
      <c r="K22" s="9">
        <f>ROUNDDOWN(G22*J22,0)</f>
        <v>0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/>
      <c r="E23" s="49">
        <v>0.85</v>
      </c>
      <c r="F23" s="47">
        <f t="shared" ref="F23" si="4">ROUNDDOWN(C23*D23*E23,0)</f>
        <v>0</v>
      </c>
      <c r="G23" s="5">
        <v>74564</v>
      </c>
      <c r="H23" s="17">
        <v>13</v>
      </c>
      <c r="I23" s="36">
        <f>16.67/16.61</f>
        <v>1.0036122817579773</v>
      </c>
      <c r="J23" s="26"/>
      <c r="K23" s="9">
        <f t="shared" si="0"/>
        <v>0</v>
      </c>
      <c r="L23" s="47">
        <v>400</v>
      </c>
      <c r="M23" s="22"/>
      <c r="N23" s="5">
        <v>0</v>
      </c>
      <c r="O23" s="5">
        <v>0</v>
      </c>
      <c r="P23" s="45"/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274808</v>
      </c>
      <c r="H24" s="17">
        <v>13</v>
      </c>
      <c r="I24" s="36">
        <f>14.25/14.19</f>
        <v>1.0042283298097252</v>
      </c>
      <c r="J24" s="26"/>
      <c r="K24" s="9">
        <f t="shared" si="0"/>
        <v>0</v>
      </c>
      <c r="L24" s="47"/>
      <c r="M24" s="45"/>
      <c r="N24" s="5">
        <f>ROUNDDOWN(L23*M24*1,0)</f>
        <v>0</v>
      </c>
      <c r="O24" s="5">
        <v>0</v>
      </c>
      <c r="P24" s="45"/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362655</v>
      </c>
      <c r="H25" s="17">
        <v>9.81</v>
      </c>
      <c r="I25" s="36">
        <f>8.93/8.87</f>
        <v>1.0067643742953778</v>
      </c>
      <c r="J25" s="26"/>
      <c r="K25" s="9">
        <f t="shared" si="0"/>
        <v>0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/>
      <c r="E26" s="49">
        <v>0.85</v>
      </c>
      <c r="F26" s="47">
        <f t="shared" ref="F26" si="5">ROUNDDOWN(C26*D26*E26,0)</f>
        <v>0</v>
      </c>
      <c r="G26" s="5"/>
      <c r="H26" s="5"/>
      <c r="I26" s="5"/>
      <c r="J26" s="24"/>
      <c r="K26" s="9">
        <f t="shared" si="0"/>
        <v>0</v>
      </c>
      <c r="L26" s="47">
        <v>400</v>
      </c>
      <c r="M26" s="22"/>
      <c r="N26" s="5">
        <v>0</v>
      </c>
      <c r="O26" s="5">
        <v>0</v>
      </c>
      <c r="P26" s="45"/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313056</v>
      </c>
      <c r="H27" s="17">
        <v>12.25</v>
      </c>
      <c r="I27" s="36">
        <f>13.31/13.25</f>
        <v>1.0045283018867925</v>
      </c>
      <c r="J27" s="26"/>
      <c r="K27" s="9">
        <f t="shared" si="0"/>
        <v>0</v>
      </c>
      <c r="L27" s="47"/>
      <c r="M27" s="45"/>
      <c r="N27" s="5">
        <f>ROUNDDOWN(L26*M27*1,0)</f>
        <v>0</v>
      </c>
      <c r="O27" s="5">
        <v>0</v>
      </c>
      <c r="P27" s="45"/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286488</v>
      </c>
      <c r="H28" s="17">
        <v>9.81</v>
      </c>
      <c r="I28" s="36">
        <f>8.93/8.87</f>
        <v>1.0067643742953778</v>
      </c>
      <c r="J28" s="26"/>
      <c r="K28" s="9">
        <f t="shared" si="0"/>
        <v>0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/>
      <c r="E29" s="49">
        <v>0.85</v>
      </c>
      <c r="F29" s="47">
        <f t="shared" ref="F29" si="6">ROUNDDOWN(C29*D29*E29,0)</f>
        <v>0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45"/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260591</v>
      </c>
      <c r="H30" s="17">
        <v>12.25</v>
      </c>
      <c r="I30" s="36">
        <f>13.31/13.25</f>
        <v>1.0045283018867925</v>
      </c>
      <c r="J30" s="26"/>
      <c r="K30" s="9">
        <f t="shared" si="0"/>
        <v>0</v>
      </c>
      <c r="L30" s="47"/>
      <c r="M30" s="45"/>
      <c r="N30" s="5">
        <f>ROUNDDOWN(L29*M30*1,0)</f>
        <v>0</v>
      </c>
      <c r="O30" s="5">
        <v>0</v>
      </c>
      <c r="P30" s="45"/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265820</v>
      </c>
      <c r="H31" s="17">
        <v>9.81</v>
      </c>
      <c r="I31" s="36">
        <f>8.93/8.87</f>
        <v>1.0067643742953778</v>
      </c>
      <c r="J31" s="26"/>
      <c r="K31" s="9">
        <f>ROUNDDOWN(G31*J31,0)</f>
        <v>0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/>
      <c r="E32" s="49">
        <v>0.85</v>
      </c>
      <c r="F32" s="47">
        <f t="shared" ref="F32" si="7">ROUNDDOWN(C32*D32*E32,0)</f>
        <v>0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45"/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264779</v>
      </c>
      <c r="H33" s="17">
        <v>12.25</v>
      </c>
      <c r="I33" s="36">
        <f>13.31/13.25</f>
        <v>1.0045283018867925</v>
      </c>
      <c r="J33" s="26"/>
      <c r="K33" s="9">
        <f>ROUNDDOWN(G33*J33,0)</f>
        <v>0</v>
      </c>
      <c r="L33" s="47"/>
      <c r="M33" s="45"/>
      <c r="N33" s="5">
        <f>ROUNDDOWN(L32*M33*1,0)</f>
        <v>0</v>
      </c>
      <c r="O33" s="5">
        <v>0</v>
      </c>
      <c r="P33" s="45"/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297992</v>
      </c>
      <c r="H34" s="17">
        <v>9.81</v>
      </c>
      <c r="I34" s="36">
        <f>8.93/8.87</f>
        <v>1.0067643742953778</v>
      </c>
      <c r="J34" s="26"/>
      <c r="K34" s="9">
        <f>ROUNDDOWN(G34*J34,0)</f>
        <v>0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/>
      <c r="E35" s="49">
        <v>0.85</v>
      </c>
      <c r="F35" s="47">
        <f t="shared" ref="F35" si="8">ROUNDDOWN(C35*D35*E35,0)</f>
        <v>0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45"/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258932</v>
      </c>
      <c r="H36" s="17">
        <v>12.25</v>
      </c>
      <c r="I36" s="36">
        <f>13.31/13.25</f>
        <v>1.0045283018867925</v>
      </c>
      <c r="J36" s="26"/>
      <c r="K36" s="9">
        <f t="shared" si="0"/>
        <v>0</v>
      </c>
      <c r="L36" s="47"/>
      <c r="M36" s="45"/>
      <c r="N36" s="5">
        <f>ROUNDDOWN(L35*M36*1,0)</f>
        <v>0</v>
      </c>
      <c r="O36" s="5">
        <v>0</v>
      </c>
      <c r="P36" s="45"/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301012</v>
      </c>
      <c r="H37" s="17">
        <v>9.81</v>
      </c>
      <c r="I37" s="36">
        <f>8.93/8.87</f>
        <v>1.0067643742953778</v>
      </c>
      <c r="J37" s="26"/>
      <c r="K37" s="9">
        <f t="shared" si="0"/>
        <v>0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/>
      <c r="E38" s="49">
        <v>0.85</v>
      </c>
      <c r="F38" s="47">
        <f t="shared" ref="F38" si="9">ROUNDDOWN(C38*D38*E38,0)</f>
        <v>0</v>
      </c>
      <c r="G38" s="5"/>
      <c r="H38" s="5"/>
      <c r="I38" s="5"/>
      <c r="J38" s="24"/>
      <c r="K38" s="9">
        <f t="shared" si="0"/>
        <v>0</v>
      </c>
      <c r="L38" s="47">
        <v>400</v>
      </c>
      <c r="M38" s="22"/>
      <c r="N38" s="5">
        <v>0</v>
      </c>
      <c r="O38" s="5">
        <v>0</v>
      </c>
      <c r="P38" s="45"/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250522</v>
      </c>
      <c r="H39" s="17">
        <v>12.25</v>
      </c>
      <c r="I39" s="36">
        <f>13.31/13.25</f>
        <v>1.0045283018867925</v>
      </c>
      <c r="J39" s="26"/>
      <c r="K39" s="9">
        <f>ROUNDDOWN(G39*J39,0)</f>
        <v>0</v>
      </c>
      <c r="L39" s="47"/>
      <c r="M39" s="45"/>
      <c r="N39" s="5">
        <f>ROUNDDOWN(L38*M39*1,0)</f>
        <v>0</v>
      </c>
      <c r="O39" s="5">
        <v>0</v>
      </c>
      <c r="P39" s="45"/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269294</v>
      </c>
      <c r="H40" s="17">
        <v>9.81</v>
      </c>
      <c r="I40" s="36">
        <f>8.93/8.87</f>
        <v>1.0067643742953778</v>
      </c>
      <c r="J40" s="26"/>
      <c r="K40" s="9">
        <f t="shared" si="0"/>
        <v>0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/>
      <c r="E41" s="49">
        <v>0.85</v>
      </c>
      <c r="F41" s="47">
        <f t="shared" ref="F41" si="10">ROUNDDOWN(C41*D41*E41,0)</f>
        <v>0</v>
      </c>
      <c r="G41" s="5"/>
      <c r="H41" s="5"/>
      <c r="I41" s="5"/>
      <c r="J41" s="24"/>
      <c r="K41" s="9">
        <f t="shared" si="0"/>
        <v>0</v>
      </c>
      <c r="L41" s="47">
        <v>400</v>
      </c>
      <c r="M41" s="22"/>
      <c r="N41" s="5">
        <v>0</v>
      </c>
      <c r="O41" s="5">
        <v>0</v>
      </c>
      <c r="P41" s="45"/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265607</v>
      </c>
      <c r="H42" s="17">
        <v>12.25</v>
      </c>
      <c r="I42" s="36">
        <f>13.31/13.25</f>
        <v>1.0045283018867925</v>
      </c>
      <c r="J42" s="26"/>
      <c r="K42" s="9">
        <f t="shared" si="0"/>
        <v>0</v>
      </c>
      <c r="L42" s="47"/>
      <c r="M42" s="45"/>
      <c r="N42" s="5">
        <f>ROUNDDOWN(L41*M42*1,0)</f>
        <v>0</v>
      </c>
      <c r="O42" s="5">
        <v>0</v>
      </c>
      <c r="P42" s="45"/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272507</v>
      </c>
      <c r="H43" s="17">
        <v>9.81</v>
      </c>
      <c r="I43" s="36">
        <f>8.93/8.87</f>
        <v>1.0067643742953778</v>
      </c>
      <c r="J43" s="26"/>
      <c r="K43" s="9">
        <f t="shared" si="0"/>
        <v>0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0</v>
      </c>
      <c r="G44" s="5">
        <f>SUM(G8:G43)</f>
        <v>7161699</v>
      </c>
      <c r="H44" s="5"/>
      <c r="I44" s="5"/>
      <c r="J44" s="19"/>
      <c r="K44" s="9">
        <f>SUM(K8:K43)</f>
        <v>0</v>
      </c>
      <c r="L44" s="6"/>
      <c r="M44" s="29"/>
      <c r="N44" s="46">
        <f>SUM(N8:N43)</f>
        <v>0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99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0</v>
      </c>
      <c r="Q45" s="92"/>
      <c r="S45" s="100"/>
      <c r="T45" s="100"/>
      <c r="U45" s="101"/>
      <c r="V45" s="102"/>
    </row>
    <row r="46" spans="1:22" ht="13.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0</v>
      </c>
      <c r="Q46" s="92"/>
    </row>
    <row r="47" spans="1:22" ht="17.2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3"/>
  <sheetViews>
    <sheetView zoomScaleNormal="100" zoomScaleSheetLayoutView="90" workbookViewId="0">
      <pane xSplit="2" ySplit="1" topLeftCell="G29" activePane="bottomRight" state="frozen"/>
      <selection pane="topRight" activeCell="C1" sqref="C1"/>
      <selection pane="bottomLeft" activeCell="A2" sqref="A2"/>
      <selection pane="bottomRight" activeCell="B20" sqref="B20:B22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8" width="11" bestFit="1" customWidth="1"/>
    <col min="9" max="9" width="14.44140625" customWidth="1"/>
    <col min="11" max="11" width="9.77734375" customWidth="1"/>
    <col min="12" max="12" width="14.44140625" customWidth="1"/>
    <col min="13" max="13" width="10.33203125" customWidth="1"/>
    <col min="14" max="14" width="11.109375" customWidth="1"/>
    <col min="15" max="15" width="12.109375" customWidth="1"/>
    <col min="16" max="16" width="14.6640625" customWidth="1"/>
    <col min="17" max="17" width="16.33203125" customWidth="1"/>
    <col min="19" max="19" width="10" customWidth="1"/>
    <col min="20" max="20" width="9.77734375" bestFit="1" customWidth="1"/>
  </cols>
  <sheetData>
    <row r="1" spans="1:20" ht="18.75" customHeight="1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ht="26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0" ht="13.5" customHeight="1">
      <c r="A3" s="52" t="s">
        <v>0</v>
      </c>
      <c r="B3" s="63"/>
      <c r="C3" s="53" t="s">
        <v>1</v>
      </c>
      <c r="D3" s="54"/>
      <c r="E3" s="54"/>
      <c r="F3" s="54"/>
      <c r="G3" s="54"/>
      <c r="H3" s="54"/>
      <c r="I3" s="55"/>
      <c r="J3" s="66" t="s">
        <v>2</v>
      </c>
      <c r="K3" s="66"/>
      <c r="L3" s="66"/>
      <c r="M3" s="66"/>
      <c r="N3" s="66"/>
      <c r="O3" s="66"/>
      <c r="P3" s="71" t="s">
        <v>32</v>
      </c>
      <c r="Q3" s="71" t="s">
        <v>32</v>
      </c>
    </row>
    <row r="4" spans="1:20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 t="s">
        <v>3</v>
      </c>
      <c r="K4" s="52"/>
      <c r="L4" s="52"/>
      <c r="M4" s="52" t="s">
        <v>18</v>
      </c>
      <c r="N4" s="52"/>
      <c r="O4" s="52"/>
      <c r="P4" s="71"/>
      <c r="Q4" s="71"/>
    </row>
    <row r="5" spans="1:20" ht="13.5" customHeight="1">
      <c r="A5" s="63"/>
      <c r="B5" s="63"/>
      <c r="C5" s="52" t="s">
        <v>4</v>
      </c>
      <c r="D5" s="65" t="s">
        <v>34</v>
      </c>
      <c r="E5" s="62" t="s">
        <v>33</v>
      </c>
      <c r="F5" s="52" t="s">
        <v>27</v>
      </c>
      <c r="G5" s="1" t="s">
        <v>5</v>
      </c>
      <c r="H5" s="52" t="s">
        <v>6</v>
      </c>
      <c r="I5" s="52" t="s">
        <v>26</v>
      </c>
      <c r="J5" s="52" t="s">
        <v>4</v>
      </c>
      <c r="K5" s="64" t="s">
        <v>7</v>
      </c>
      <c r="L5" s="52" t="s">
        <v>28</v>
      </c>
      <c r="M5" s="4" t="s">
        <v>5</v>
      </c>
      <c r="N5" s="52" t="s">
        <v>6</v>
      </c>
      <c r="O5" s="52" t="s">
        <v>29</v>
      </c>
      <c r="P5" s="71"/>
      <c r="Q5" s="71"/>
    </row>
    <row r="6" spans="1:20" ht="28.8">
      <c r="A6" s="63"/>
      <c r="B6" s="63"/>
      <c r="C6" s="52"/>
      <c r="D6" s="52"/>
      <c r="E6" s="61"/>
      <c r="F6" s="52"/>
      <c r="G6" s="3" t="s">
        <v>8</v>
      </c>
      <c r="H6" s="52"/>
      <c r="I6" s="52"/>
      <c r="J6" s="52"/>
      <c r="K6" s="52"/>
      <c r="L6" s="52"/>
      <c r="M6" s="3" t="s">
        <v>9</v>
      </c>
      <c r="N6" s="52"/>
      <c r="O6" s="52"/>
      <c r="P6" s="71"/>
      <c r="Q6" s="71"/>
    </row>
    <row r="7" spans="1:20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 t="s">
        <v>10</v>
      </c>
      <c r="I7" s="1" t="s">
        <v>10</v>
      </c>
      <c r="J7" s="1" t="s">
        <v>19</v>
      </c>
      <c r="K7" s="1" t="s">
        <v>10</v>
      </c>
      <c r="L7" s="1" t="s">
        <v>10</v>
      </c>
      <c r="M7" s="1" t="s">
        <v>20</v>
      </c>
      <c r="N7" s="1" t="s">
        <v>10</v>
      </c>
      <c r="O7" s="1" t="s">
        <v>10</v>
      </c>
      <c r="P7" s="1" t="s">
        <v>30</v>
      </c>
      <c r="Q7" s="1" t="s">
        <v>31</v>
      </c>
    </row>
    <row r="8" spans="1:20" ht="13.5" customHeight="1">
      <c r="A8" s="72" t="s">
        <v>45</v>
      </c>
      <c r="B8" s="59" t="s">
        <v>23</v>
      </c>
      <c r="C8" s="75">
        <v>1450</v>
      </c>
      <c r="D8" s="76">
        <v>2008.8</v>
      </c>
      <c r="E8" s="77">
        <v>0.85</v>
      </c>
      <c r="F8" s="75">
        <f>C8*D8*E8</f>
        <v>2475846</v>
      </c>
      <c r="G8" s="27"/>
      <c r="H8" s="24"/>
      <c r="I8" s="25">
        <f>ROUNDDOWN(G8*H8,0)</f>
        <v>0</v>
      </c>
      <c r="J8" s="47">
        <v>400</v>
      </c>
      <c r="K8" s="27"/>
      <c r="L8" s="27">
        <v>0</v>
      </c>
      <c r="M8" s="27" t="e">
        <f>[1]医セ!$H$5</f>
        <v>#REF!</v>
      </c>
      <c r="N8" s="28">
        <v>18.23</v>
      </c>
      <c r="O8" s="27" t="e">
        <f>M8*N8</f>
        <v>#REF!</v>
      </c>
      <c r="P8" s="80" t="e">
        <f>F8+I8+I9+I10+L8+L9+O8+O9</f>
        <v>#REF!</v>
      </c>
      <c r="Q8" s="47" t="e">
        <f>ROUNDDOWN(P8/1.08,0)</f>
        <v>#REF!</v>
      </c>
      <c r="T8" s="11"/>
    </row>
    <row r="9" spans="1:20">
      <c r="A9" s="73"/>
      <c r="B9" s="59"/>
      <c r="C9" s="75"/>
      <c r="D9" s="76"/>
      <c r="E9" s="78"/>
      <c r="F9" s="75"/>
      <c r="G9" s="27">
        <v>285384</v>
      </c>
      <c r="H9" s="26">
        <v>13.25</v>
      </c>
      <c r="I9" s="25">
        <f>ROUNDDOWN(G9*H9,0)</f>
        <v>3781338</v>
      </c>
      <c r="J9" s="47"/>
      <c r="K9" s="22">
        <v>427.68</v>
      </c>
      <c r="L9" s="23">
        <f>J8*K9</f>
        <v>171072</v>
      </c>
      <c r="M9" s="27" t="e">
        <f>[1]医セ!$G$5</f>
        <v>#REF!</v>
      </c>
      <c r="N9" s="28">
        <v>22.11</v>
      </c>
      <c r="O9" s="27" t="e">
        <f>M9*N9</f>
        <v>#REF!</v>
      </c>
      <c r="P9" s="80"/>
      <c r="Q9" s="47"/>
      <c r="S9" s="5"/>
      <c r="T9" s="11">
        <f>ROUNDDOWN(S9*1.03,0)</f>
        <v>0</v>
      </c>
    </row>
    <row r="10" spans="1:20">
      <c r="A10" s="73"/>
      <c r="B10" s="59"/>
      <c r="C10" s="75"/>
      <c r="D10" s="76"/>
      <c r="E10" s="79"/>
      <c r="F10" s="75"/>
      <c r="G10" s="27">
        <f>548400-G9</f>
        <v>263016</v>
      </c>
      <c r="H10" s="26">
        <v>8.8699999999999992</v>
      </c>
      <c r="I10" s="25">
        <f t="shared" ref="I10:I43" si="0">ROUNDDOWN(G10*H10,0)</f>
        <v>2332951</v>
      </c>
      <c r="J10" s="47"/>
      <c r="K10" s="29"/>
      <c r="L10" s="30"/>
      <c r="M10" s="30"/>
      <c r="N10" s="29"/>
      <c r="O10" s="30"/>
      <c r="P10" s="80"/>
      <c r="Q10" s="47"/>
      <c r="S10" s="5">
        <v>262416</v>
      </c>
      <c r="T10" s="11">
        <f t="shared" ref="T10:T44" si="1">ROUNDDOWN(S10*1.03,0)</f>
        <v>270288</v>
      </c>
    </row>
    <row r="11" spans="1:20" ht="13.5" customHeight="1">
      <c r="A11" s="73"/>
      <c r="B11" s="59" t="s">
        <v>24</v>
      </c>
      <c r="C11" s="75">
        <v>1450</v>
      </c>
      <c r="D11" s="76">
        <v>2008.8</v>
      </c>
      <c r="E11" s="77">
        <v>0.85</v>
      </c>
      <c r="F11" s="75">
        <f>C11*D11*E11</f>
        <v>2475846</v>
      </c>
      <c r="G11" s="27"/>
      <c r="H11" s="24"/>
      <c r="I11" s="25">
        <f>ROUNDDOWN(G11*H11,0)</f>
        <v>0</v>
      </c>
      <c r="J11" s="47">
        <v>400</v>
      </c>
      <c r="K11" s="27"/>
      <c r="L11" s="27">
        <f>J12*K11</f>
        <v>0</v>
      </c>
      <c r="M11" s="27" t="e">
        <f>[1]医セ!$H$6</f>
        <v>#REF!</v>
      </c>
      <c r="N11" s="28">
        <v>18.23</v>
      </c>
      <c r="O11" s="27" t="e">
        <f>M11*N11</f>
        <v>#REF!</v>
      </c>
      <c r="P11" s="80" t="e">
        <f>F11+I11+I12+I13+L11+L12+O11+O12</f>
        <v>#REF!</v>
      </c>
      <c r="Q11" s="47" t="e">
        <f>ROUNDDOWN(P11/1.08,0)</f>
        <v>#REF!</v>
      </c>
      <c r="S11" s="5">
        <v>232032</v>
      </c>
      <c r="T11" s="11">
        <f t="shared" si="1"/>
        <v>238992</v>
      </c>
    </row>
    <row r="12" spans="1:20">
      <c r="A12" s="73"/>
      <c r="B12" s="59"/>
      <c r="C12" s="75"/>
      <c r="D12" s="76"/>
      <c r="E12" s="78"/>
      <c r="F12" s="75"/>
      <c r="G12" s="27">
        <v>304464</v>
      </c>
      <c r="H12" s="26">
        <v>13.25</v>
      </c>
      <c r="I12" s="25">
        <f t="shared" si="0"/>
        <v>4034148</v>
      </c>
      <c r="J12" s="47"/>
      <c r="K12" s="22">
        <v>427.68</v>
      </c>
      <c r="L12" s="23">
        <f>J11*K12</f>
        <v>171072</v>
      </c>
      <c r="M12" s="27" t="e">
        <f>[1]医セ!$G$6</f>
        <v>#REF!</v>
      </c>
      <c r="N12" s="28">
        <v>22.11</v>
      </c>
      <c r="O12" s="27" t="e">
        <f>M12*N12</f>
        <v>#REF!</v>
      </c>
      <c r="P12" s="80"/>
      <c r="Q12" s="47"/>
      <c r="S12" s="5"/>
      <c r="T12" s="11">
        <f t="shared" si="1"/>
        <v>0</v>
      </c>
    </row>
    <row r="13" spans="1:20">
      <c r="A13" s="73"/>
      <c r="B13" s="59"/>
      <c r="C13" s="75"/>
      <c r="D13" s="76"/>
      <c r="E13" s="79"/>
      <c r="F13" s="75"/>
      <c r="G13" s="27">
        <f>626448-304464</f>
        <v>321984</v>
      </c>
      <c r="H13" s="26">
        <v>8.8699999999999992</v>
      </c>
      <c r="I13" s="25">
        <f t="shared" si="0"/>
        <v>2855998</v>
      </c>
      <c r="J13" s="47"/>
      <c r="K13" s="29"/>
      <c r="L13" s="30"/>
      <c r="M13" s="30"/>
      <c r="N13" s="29"/>
      <c r="O13" s="30"/>
      <c r="P13" s="80"/>
      <c r="Q13" s="47"/>
      <c r="S13" s="5">
        <v>276024</v>
      </c>
      <c r="T13" s="11">
        <f t="shared" si="1"/>
        <v>284304</v>
      </c>
    </row>
    <row r="14" spans="1:20" ht="13.5" customHeight="1">
      <c r="A14" s="73"/>
      <c r="B14" s="59" t="s">
        <v>25</v>
      </c>
      <c r="C14" s="75">
        <v>1450</v>
      </c>
      <c r="D14" s="76">
        <v>2008.8</v>
      </c>
      <c r="E14" s="77">
        <v>0.85</v>
      </c>
      <c r="F14" s="75">
        <f>C14*D14*E14</f>
        <v>2475846</v>
      </c>
      <c r="G14" s="27"/>
      <c r="H14" s="24"/>
      <c r="I14" s="25">
        <f>ROUNDDOWN(G14*H14,0)</f>
        <v>0</v>
      </c>
      <c r="J14" s="47">
        <v>400</v>
      </c>
      <c r="K14" s="27"/>
      <c r="L14" s="27">
        <f>J15*K14</f>
        <v>0</v>
      </c>
      <c r="M14" s="27">
        <v>0</v>
      </c>
      <c r="N14" s="28">
        <v>18.23</v>
      </c>
      <c r="O14" s="27">
        <f>M14*N14</f>
        <v>0</v>
      </c>
      <c r="P14" s="80" t="e">
        <f>F14+I14+I15+I16+L14+L15+O14+O15</f>
        <v>#REF!</v>
      </c>
      <c r="Q14" s="47" t="e">
        <f>ROUNDDOWN(P14/1.08,0)</f>
        <v>#REF!</v>
      </c>
      <c r="S14" s="5">
        <v>283488</v>
      </c>
      <c r="T14" s="11">
        <f t="shared" si="1"/>
        <v>291992</v>
      </c>
    </row>
    <row r="15" spans="1:20">
      <c r="A15" s="73"/>
      <c r="B15" s="59"/>
      <c r="C15" s="75"/>
      <c r="D15" s="76"/>
      <c r="E15" s="78"/>
      <c r="F15" s="75"/>
      <c r="G15" s="27">
        <v>378120</v>
      </c>
      <c r="H15" s="26">
        <v>13.25</v>
      </c>
      <c r="I15" s="25">
        <f t="shared" si="0"/>
        <v>5010090</v>
      </c>
      <c r="J15" s="47"/>
      <c r="K15" s="22">
        <v>427.68</v>
      </c>
      <c r="L15" s="23">
        <f>J14*K15</f>
        <v>171072</v>
      </c>
      <c r="M15" s="27" t="e">
        <f>[1]医セ!$G$7</f>
        <v>#REF!</v>
      </c>
      <c r="N15" s="28">
        <v>22.11</v>
      </c>
      <c r="O15" s="27" t="e">
        <f>M15*N15</f>
        <v>#REF!</v>
      </c>
      <c r="P15" s="80"/>
      <c r="Q15" s="47"/>
      <c r="S15" s="5"/>
      <c r="T15" s="11">
        <f t="shared" si="1"/>
        <v>0</v>
      </c>
    </row>
    <row r="16" spans="1:20">
      <c r="A16" s="73"/>
      <c r="B16" s="59"/>
      <c r="C16" s="75"/>
      <c r="D16" s="76"/>
      <c r="E16" s="79"/>
      <c r="F16" s="75"/>
      <c r="G16" s="27">
        <f>669576-G15</f>
        <v>291456</v>
      </c>
      <c r="H16" s="26">
        <v>8.8699999999999992</v>
      </c>
      <c r="I16" s="25">
        <f t="shared" si="0"/>
        <v>2585214</v>
      </c>
      <c r="J16" s="47"/>
      <c r="K16" s="29"/>
      <c r="L16" s="30"/>
      <c r="M16" s="30"/>
      <c r="N16" s="29"/>
      <c r="O16" s="30"/>
      <c r="P16" s="80"/>
      <c r="Q16" s="47"/>
      <c r="S16" s="5">
        <v>338616</v>
      </c>
      <c r="T16" s="11">
        <f t="shared" si="1"/>
        <v>348774</v>
      </c>
    </row>
    <row r="17" spans="1:20" ht="13.5" customHeight="1">
      <c r="A17" s="73"/>
      <c r="B17" s="59" t="s">
        <v>11</v>
      </c>
      <c r="C17" s="75">
        <v>1450</v>
      </c>
      <c r="D17" s="76">
        <v>2008.8</v>
      </c>
      <c r="E17" s="77">
        <v>0.85</v>
      </c>
      <c r="F17" s="75">
        <f>C17*D17*E17</f>
        <v>2475846</v>
      </c>
      <c r="G17" s="27">
        <v>86424</v>
      </c>
      <c r="H17" s="26">
        <v>16.61</v>
      </c>
      <c r="I17" s="25">
        <f>ROUNDDOWN(G17*H17,0)</f>
        <v>1435502</v>
      </c>
      <c r="J17" s="47">
        <v>400</v>
      </c>
      <c r="K17" s="27"/>
      <c r="L17" s="27">
        <f>J18*K17</f>
        <v>0</v>
      </c>
      <c r="M17" s="27" t="e">
        <f>[1]医セ!$H$8</f>
        <v>#REF!</v>
      </c>
      <c r="N17" s="28">
        <v>19.78</v>
      </c>
      <c r="O17" s="27" t="e">
        <f>M17*N17</f>
        <v>#REF!</v>
      </c>
      <c r="P17" s="80" t="e">
        <f>F17+I17+I18+I19+L17+L18+O17+O18</f>
        <v>#REF!</v>
      </c>
      <c r="Q17" s="47" t="e">
        <f>ROUNDDOWN(P17/1.08,0)</f>
        <v>#REF!</v>
      </c>
      <c r="S17" s="5">
        <v>235728</v>
      </c>
      <c r="T17" s="11">
        <f t="shared" si="1"/>
        <v>242799</v>
      </c>
    </row>
    <row r="18" spans="1:20">
      <c r="A18" s="73"/>
      <c r="B18" s="59"/>
      <c r="C18" s="75"/>
      <c r="D18" s="76"/>
      <c r="E18" s="78"/>
      <c r="F18" s="75"/>
      <c r="G18" s="27">
        <v>299904</v>
      </c>
      <c r="H18" s="26">
        <v>14.19</v>
      </c>
      <c r="I18" s="25">
        <f t="shared" si="0"/>
        <v>4255637</v>
      </c>
      <c r="J18" s="47"/>
      <c r="K18" s="22">
        <v>427.68</v>
      </c>
      <c r="L18" s="23">
        <f>J17*K18</f>
        <v>171072</v>
      </c>
      <c r="M18" s="27" t="e">
        <f>[1]医セ!$G$8</f>
        <v>#REF!</v>
      </c>
      <c r="N18" s="28">
        <v>24.06</v>
      </c>
      <c r="O18" s="27" t="e">
        <f>M18*N18</f>
        <v>#REF!</v>
      </c>
      <c r="P18" s="80"/>
      <c r="Q18" s="47"/>
      <c r="S18" s="5">
        <v>74976</v>
      </c>
      <c r="T18" s="11">
        <f t="shared" si="1"/>
        <v>77225</v>
      </c>
    </row>
    <row r="19" spans="1:20">
      <c r="A19" s="73"/>
      <c r="B19" s="59"/>
      <c r="C19" s="75"/>
      <c r="D19" s="76"/>
      <c r="E19" s="79"/>
      <c r="F19" s="75"/>
      <c r="G19" s="27">
        <f>761376-G17-G18</f>
        <v>375048</v>
      </c>
      <c r="H19" s="26">
        <v>8.8699999999999992</v>
      </c>
      <c r="I19" s="25">
        <f t="shared" si="0"/>
        <v>3326675</v>
      </c>
      <c r="J19" s="47"/>
      <c r="K19" s="29"/>
      <c r="L19" s="30"/>
      <c r="M19" s="30"/>
      <c r="N19" s="29"/>
      <c r="O19" s="30"/>
      <c r="P19" s="80"/>
      <c r="Q19" s="47"/>
      <c r="S19" s="5">
        <v>254904</v>
      </c>
      <c r="T19" s="11">
        <f t="shared" si="1"/>
        <v>262551</v>
      </c>
    </row>
    <row r="20" spans="1:20" ht="13.5" customHeight="1">
      <c r="A20" s="73"/>
      <c r="B20" s="59" t="s">
        <v>12</v>
      </c>
      <c r="C20" s="75">
        <v>1450</v>
      </c>
      <c r="D20" s="76">
        <v>2008.8</v>
      </c>
      <c r="E20" s="77">
        <v>0.85</v>
      </c>
      <c r="F20" s="75">
        <f>C20*D20*E20</f>
        <v>2475846</v>
      </c>
      <c r="G20" s="27">
        <v>94152</v>
      </c>
      <c r="H20" s="26">
        <v>16.61</v>
      </c>
      <c r="I20" s="25">
        <f>ROUNDDOWN(G20*H20,0)</f>
        <v>1563864</v>
      </c>
      <c r="J20" s="47">
        <v>400</v>
      </c>
      <c r="K20" s="27"/>
      <c r="L20" s="27">
        <f>J20*K20</f>
        <v>0</v>
      </c>
      <c r="M20" s="27">
        <v>0</v>
      </c>
      <c r="N20" s="28">
        <v>19.78</v>
      </c>
      <c r="O20" s="27">
        <f>M20*N20</f>
        <v>0</v>
      </c>
      <c r="P20" s="80">
        <f>F20+I20+I21+I22+L20+L21+O20+O21</f>
        <v>12185505</v>
      </c>
      <c r="Q20" s="47">
        <f>ROUNDDOWN(P20/1.08,0)</f>
        <v>11282875</v>
      </c>
      <c r="S20" s="5">
        <v>271728</v>
      </c>
      <c r="T20" s="11">
        <f t="shared" si="1"/>
        <v>279879</v>
      </c>
    </row>
    <row r="21" spans="1:20">
      <c r="A21" s="73"/>
      <c r="B21" s="59"/>
      <c r="C21" s="75"/>
      <c r="D21" s="76"/>
      <c r="E21" s="78"/>
      <c r="F21" s="75"/>
      <c r="G21" s="27">
        <v>327408</v>
      </c>
      <c r="H21" s="26">
        <v>14.19</v>
      </c>
      <c r="I21" s="25">
        <f t="shared" si="0"/>
        <v>4645919</v>
      </c>
      <c r="J21" s="47"/>
      <c r="K21" s="22">
        <v>427.68</v>
      </c>
      <c r="L21" s="23">
        <f>J20*K21</f>
        <v>171072</v>
      </c>
      <c r="M21" s="27">
        <v>0</v>
      </c>
      <c r="N21" s="28">
        <v>24.06</v>
      </c>
      <c r="O21" s="27">
        <f>M21*N21</f>
        <v>0</v>
      </c>
      <c r="P21" s="80"/>
      <c r="Q21" s="47"/>
      <c r="S21" s="5">
        <v>84408</v>
      </c>
      <c r="T21" s="11">
        <f t="shared" si="1"/>
        <v>86940</v>
      </c>
    </row>
    <row r="22" spans="1:20">
      <c r="A22" s="73"/>
      <c r="B22" s="59"/>
      <c r="C22" s="75"/>
      <c r="D22" s="76"/>
      <c r="E22" s="79"/>
      <c r="F22" s="75"/>
      <c r="G22" s="27">
        <f>796848-G20-G21</f>
        <v>375288</v>
      </c>
      <c r="H22" s="26">
        <v>8.8699999999999992</v>
      </c>
      <c r="I22" s="25">
        <f t="shared" si="0"/>
        <v>3328804</v>
      </c>
      <c r="J22" s="47"/>
      <c r="K22" s="29"/>
      <c r="L22" s="30"/>
      <c r="M22" s="30"/>
      <c r="N22" s="29"/>
      <c r="O22" s="30"/>
      <c r="P22" s="80"/>
      <c r="Q22" s="47"/>
      <c r="S22" s="5">
        <v>284880</v>
      </c>
      <c r="T22" s="11">
        <f t="shared" si="1"/>
        <v>293426</v>
      </c>
    </row>
    <row r="23" spans="1:20" ht="13.5" customHeight="1">
      <c r="A23" s="73"/>
      <c r="B23" s="59" t="s">
        <v>13</v>
      </c>
      <c r="C23" s="75">
        <v>1450</v>
      </c>
      <c r="D23" s="76">
        <v>2008.8</v>
      </c>
      <c r="E23" s="77">
        <v>0.85</v>
      </c>
      <c r="F23" s="75">
        <f>C23*D23*E23</f>
        <v>2475846</v>
      </c>
      <c r="G23" s="27">
        <v>77568</v>
      </c>
      <c r="H23" s="26">
        <v>16.61</v>
      </c>
      <c r="I23" s="25">
        <f>ROUNDDOWN(G23*H23,0)</f>
        <v>1288404</v>
      </c>
      <c r="J23" s="47">
        <v>400</v>
      </c>
      <c r="K23" s="27"/>
      <c r="L23" s="27">
        <f>J24*K23</f>
        <v>0</v>
      </c>
      <c r="M23" s="27" t="e">
        <f>[1]医セ!$H$10</f>
        <v>#REF!</v>
      </c>
      <c r="N23" s="28">
        <v>19.78</v>
      </c>
      <c r="O23" s="27" t="e">
        <f>M23*N23</f>
        <v>#REF!</v>
      </c>
      <c r="P23" s="80" t="e">
        <f>F23+I23+I24+I25+L23+L24+O23+O24</f>
        <v>#REF!</v>
      </c>
      <c r="Q23" s="47" t="e">
        <f>ROUNDDOWN(P23/1.08,0)</f>
        <v>#REF!</v>
      </c>
      <c r="S23" s="5">
        <v>297264</v>
      </c>
      <c r="T23" s="11">
        <f t="shared" si="1"/>
        <v>306181</v>
      </c>
    </row>
    <row r="24" spans="1:20">
      <c r="A24" s="73"/>
      <c r="B24" s="59"/>
      <c r="C24" s="75"/>
      <c r="D24" s="76"/>
      <c r="E24" s="78"/>
      <c r="F24" s="75"/>
      <c r="G24" s="27">
        <v>280560</v>
      </c>
      <c r="H24" s="26">
        <v>14.19</v>
      </c>
      <c r="I24" s="25">
        <f t="shared" si="0"/>
        <v>3981146</v>
      </c>
      <c r="J24" s="47"/>
      <c r="K24" s="22">
        <v>427.68</v>
      </c>
      <c r="L24" s="23">
        <f>J23*K24</f>
        <v>171072</v>
      </c>
      <c r="M24" s="27" t="e">
        <f>[1]医セ!$G$10</f>
        <v>#REF!</v>
      </c>
      <c r="N24" s="28">
        <v>24.06</v>
      </c>
      <c r="O24" s="27" t="e">
        <f>M24*N24</f>
        <v>#REF!</v>
      </c>
      <c r="P24" s="80"/>
      <c r="Q24" s="47"/>
      <c r="S24" s="5">
        <v>63600</v>
      </c>
      <c r="T24" s="11">
        <f t="shared" si="1"/>
        <v>65508</v>
      </c>
    </row>
    <row r="25" spans="1:20">
      <c r="A25" s="73"/>
      <c r="B25" s="59"/>
      <c r="C25" s="75"/>
      <c r="D25" s="76"/>
      <c r="E25" s="79"/>
      <c r="F25" s="75"/>
      <c r="G25" s="39">
        <f>706104-G23-G24</f>
        <v>347976</v>
      </c>
      <c r="H25" s="26">
        <v>8.8699999999999992</v>
      </c>
      <c r="I25" s="25">
        <f t="shared" si="0"/>
        <v>3086547</v>
      </c>
      <c r="J25" s="47"/>
      <c r="K25" s="29"/>
      <c r="L25" s="30"/>
      <c r="M25" s="30"/>
      <c r="N25" s="29"/>
      <c r="O25" s="30"/>
      <c r="P25" s="80"/>
      <c r="Q25" s="47"/>
      <c r="S25" s="5">
        <v>222984</v>
      </c>
      <c r="T25" s="11">
        <f t="shared" si="1"/>
        <v>229673</v>
      </c>
    </row>
    <row r="26" spans="1:20" ht="13.5" customHeight="1">
      <c r="A26" s="73"/>
      <c r="B26" s="59" t="s">
        <v>14</v>
      </c>
      <c r="C26" s="75">
        <v>1450</v>
      </c>
      <c r="D26" s="76">
        <v>2008.8</v>
      </c>
      <c r="E26" s="77">
        <v>0.85</v>
      </c>
      <c r="F26" s="75">
        <f>C26*D26*E26</f>
        <v>2475846</v>
      </c>
      <c r="G26" s="27"/>
      <c r="H26" s="24"/>
      <c r="I26" s="25">
        <f>ROUNDDOWN(G26*H26,0)</f>
        <v>0</v>
      </c>
      <c r="J26" s="47">
        <v>400</v>
      </c>
      <c r="K26" s="27"/>
      <c r="L26" s="27">
        <f>J27*K26</f>
        <v>0</v>
      </c>
      <c r="M26" s="27"/>
      <c r="N26" s="28">
        <v>18.23</v>
      </c>
      <c r="O26" s="27">
        <f>M26*N26</f>
        <v>0</v>
      </c>
      <c r="P26" s="80">
        <f>F26+I26+I27+I28+L26+L27+O26+O27</f>
        <v>10134458</v>
      </c>
      <c r="Q26" s="47">
        <f>ROUNDDOWN(P26/1.08,0)</f>
        <v>9383757</v>
      </c>
      <c r="S26" s="13">
        <v>287904</v>
      </c>
      <c r="T26" s="11">
        <f t="shared" si="1"/>
        <v>296541</v>
      </c>
    </row>
    <row r="27" spans="1:20">
      <c r="A27" s="73"/>
      <c r="B27" s="59"/>
      <c r="C27" s="75"/>
      <c r="D27" s="76"/>
      <c r="E27" s="78"/>
      <c r="F27" s="75"/>
      <c r="G27" s="27">
        <v>350544</v>
      </c>
      <c r="H27" s="26">
        <v>13.25</v>
      </c>
      <c r="I27" s="25">
        <f t="shared" si="0"/>
        <v>4644708</v>
      </c>
      <c r="J27" s="47"/>
      <c r="K27" s="22">
        <v>427.68</v>
      </c>
      <c r="L27" s="23">
        <f>J26*K27</f>
        <v>171072</v>
      </c>
      <c r="M27" s="27">
        <v>1400</v>
      </c>
      <c r="N27" s="28">
        <v>22.11</v>
      </c>
      <c r="O27" s="27">
        <f>M27*N27</f>
        <v>30954</v>
      </c>
      <c r="P27" s="80"/>
      <c r="Q27" s="47"/>
      <c r="S27" s="5"/>
      <c r="T27" s="11">
        <f t="shared" si="1"/>
        <v>0</v>
      </c>
    </row>
    <row r="28" spans="1:20">
      <c r="A28" s="73"/>
      <c r="B28" s="59"/>
      <c r="C28" s="75"/>
      <c r="D28" s="76"/>
      <c r="E28" s="79"/>
      <c r="F28" s="75"/>
      <c r="G28" s="27">
        <f>665424-G27</f>
        <v>314880</v>
      </c>
      <c r="H28" s="38">
        <v>8.93</v>
      </c>
      <c r="I28" s="25">
        <f t="shared" si="0"/>
        <v>2811878</v>
      </c>
      <c r="J28" s="47"/>
      <c r="K28" s="29"/>
      <c r="L28" s="30"/>
      <c r="M28" s="30"/>
      <c r="N28" s="29"/>
      <c r="O28" s="30"/>
      <c r="P28" s="80"/>
      <c r="Q28" s="47"/>
      <c r="S28" s="5">
        <v>309216</v>
      </c>
      <c r="T28" s="11">
        <f t="shared" si="1"/>
        <v>318492</v>
      </c>
    </row>
    <row r="29" spans="1:20" ht="13.5" customHeight="1">
      <c r="A29" s="73"/>
      <c r="B29" s="59" t="s">
        <v>15</v>
      </c>
      <c r="C29" s="75">
        <v>1450</v>
      </c>
      <c r="D29" s="76">
        <v>2008.8</v>
      </c>
      <c r="E29" s="77">
        <v>0.85</v>
      </c>
      <c r="F29" s="75">
        <f>C29*D29*E29</f>
        <v>2475846</v>
      </c>
      <c r="G29" s="27"/>
      <c r="H29" s="24"/>
      <c r="I29" s="25">
        <f>ROUNDDOWN(G29*H29,0)</f>
        <v>0</v>
      </c>
      <c r="J29" s="47">
        <v>400</v>
      </c>
      <c r="K29" s="27"/>
      <c r="L29" s="27">
        <f>J30*K29</f>
        <v>0</v>
      </c>
      <c r="M29" s="27" t="e">
        <f>[1]医セ!$H$12</f>
        <v>#REF!</v>
      </c>
      <c r="N29" s="28">
        <v>18.23</v>
      </c>
      <c r="O29" s="27" t="e">
        <f>M29*N29</f>
        <v>#REF!</v>
      </c>
      <c r="P29" s="80" t="e">
        <f>F29+I29+I30+I31+L29+L30+O29+O30</f>
        <v>#REF!</v>
      </c>
      <c r="Q29" s="47" t="e">
        <f>ROUNDDOWN(P29/1.08,0)</f>
        <v>#REF!</v>
      </c>
      <c r="S29" s="5">
        <v>242160</v>
      </c>
      <c r="T29" s="11">
        <f t="shared" si="1"/>
        <v>249424</v>
      </c>
    </row>
    <row r="30" spans="1:20">
      <c r="A30" s="73"/>
      <c r="B30" s="59"/>
      <c r="C30" s="75"/>
      <c r="D30" s="76"/>
      <c r="E30" s="78"/>
      <c r="F30" s="75"/>
      <c r="G30" s="27">
        <v>300864</v>
      </c>
      <c r="H30" s="38">
        <v>13.31</v>
      </c>
      <c r="I30" s="25">
        <f t="shared" si="0"/>
        <v>4004499</v>
      </c>
      <c r="J30" s="47"/>
      <c r="K30" s="22">
        <v>427.68</v>
      </c>
      <c r="L30" s="23">
        <f>J29*K30</f>
        <v>171072</v>
      </c>
      <c r="M30" s="27" t="e">
        <f>[1]医セ!$G$12</f>
        <v>#REF!</v>
      </c>
      <c r="N30" s="28">
        <v>22.11</v>
      </c>
      <c r="O30" s="27" t="e">
        <f>M30*N30</f>
        <v>#REF!</v>
      </c>
      <c r="P30" s="80"/>
      <c r="Q30" s="47"/>
      <c r="S30" s="5"/>
      <c r="T30" s="11">
        <f t="shared" si="1"/>
        <v>0</v>
      </c>
    </row>
    <row r="31" spans="1:20">
      <c r="A31" s="73"/>
      <c r="B31" s="59"/>
      <c r="C31" s="75"/>
      <c r="D31" s="76"/>
      <c r="E31" s="79"/>
      <c r="F31" s="75"/>
      <c r="G31" s="27">
        <v>268896</v>
      </c>
      <c r="H31" s="38">
        <v>8.93</v>
      </c>
      <c r="I31" s="25">
        <f t="shared" si="0"/>
        <v>2401241</v>
      </c>
      <c r="J31" s="47"/>
      <c r="K31" s="29"/>
      <c r="L31" s="30"/>
      <c r="M31" s="30"/>
      <c r="N31" s="29"/>
      <c r="O31" s="30"/>
      <c r="P31" s="80"/>
      <c r="Q31" s="47"/>
      <c r="S31" s="5">
        <v>261912</v>
      </c>
      <c r="T31" s="11">
        <f t="shared" si="1"/>
        <v>269769</v>
      </c>
    </row>
    <row r="32" spans="1:20" ht="13.5" customHeight="1">
      <c r="A32" s="73"/>
      <c r="B32" s="59" t="s">
        <v>16</v>
      </c>
      <c r="C32" s="75">
        <v>1450</v>
      </c>
      <c r="D32" s="76">
        <v>2008.8</v>
      </c>
      <c r="E32" s="77">
        <v>0.85</v>
      </c>
      <c r="F32" s="75">
        <f>C32*D32*E32</f>
        <v>2475846</v>
      </c>
      <c r="G32" s="27"/>
      <c r="H32" s="24"/>
      <c r="I32" s="25">
        <f>ROUNDDOWN(G32*H32,0)</f>
        <v>0</v>
      </c>
      <c r="J32" s="47">
        <v>400</v>
      </c>
      <c r="K32" s="27"/>
      <c r="L32" s="27">
        <f>J33*K32</f>
        <v>0</v>
      </c>
      <c r="M32" s="27" t="e">
        <f>[1]医セ!$H$13</f>
        <v>#REF!</v>
      </c>
      <c r="N32" s="28">
        <v>18.23</v>
      </c>
      <c r="O32" s="27" t="e">
        <f>M32*N32</f>
        <v>#REF!</v>
      </c>
      <c r="P32" s="80" t="e">
        <f>F32+I32+I33+I34+L32+L33+O32+O33</f>
        <v>#REF!</v>
      </c>
      <c r="Q32" s="47" t="e">
        <f>ROUNDDOWN(P32/1.08,0)</f>
        <v>#REF!</v>
      </c>
      <c r="S32" s="5">
        <v>229344</v>
      </c>
      <c r="T32" s="11">
        <f t="shared" si="1"/>
        <v>236224</v>
      </c>
    </row>
    <row r="33" spans="1:20">
      <c r="A33" s="73"/>
      <c r="B33" s="59"/>
      <c r="C33" s="75"/>
      <c r="D33" s="76"/>
      <c r="E33" s="78"/>
      <c r="F33" s="75"/>
      <c r="G33" s="27">
        <v>318816</v>
      </c>
      <c r="H33" s="38">
        <v>13.31</v>
      </c>
      <c r="I33" s="25">
        <f t="shared" si="0"/>
        <v>4243440</v>
      </c>
      <c r="J33" s="47"/>
      <c r="K33" s="22">
        <v>427.68</v>
      </c>
      <c r="L33" s="23">
        <f>J32*K33</f>
        <v>171072</v>
      </c>
      <c r="M33" s="27" t="e">
        <f>[1]医セ!$G$13</f>
        <v>#REF!</v>
      </c>
      <c r="N33" s="28">
        <v>22.11</v>
      </c>
      <c r="O33" s="27" t="e">
        <f>M33*N33</f>
        <v>#REF!</v>
      </c>
      <c r="P33" s="80"/>
      <c r="Q33" s="47"/>
      <c r="S33" s="5"/>
      <c r="T33" s="11">
        <f t="shared" si="1"/>
        <v>0</v>
      </c>
    </row>
    <row r="34" spans="1:20">
      <c r="A34" s="74"/>
      <c r="B34" s="59"/>
      <c r="C34" s="75"/>
      <c r="D34" s="76"/>
      <c r="E34" s="79"/>
      <c r="F34" s="75"/>
      <c r="G34" s="27">
        <v>313944</v>
      </c>
      <c r="H34" s="38">
        <v>8.93</v>
      </c>
      <c r="I34" s="25">
        <f t="shared" si="0"/>
        <v>2803519</v>
      </c>
      <c r="J34" s="47"/>
      <c r="K34" s="29"/>
      <c r="L34" s="30"/>
      <c r="M34" s="30"/>
      <c r="N34" s="29"/>
      <c r="O34" s="30"/>
      <c r="P34" s="80"/>
      <c r="Q34" s="47"/>
      <c r="S34" s="5">
        <v>266976</v>
      </c>
      <c r="T34" s="11">
        <f t="shared" si="1"/>
        <v>274985</v>
      </c>
    </row>
    <row r="35" spans="1:20">
      <c r="A35" s="73" t="s">
        <v>46</v>
      </c>
      <c r="B35" s="59" t="s">
        <v>35</v>
      </c>
      <c r="C35" s="75">
        <v>1450</v>
      </c>
      <c r="D35" s="76">
        <v>2008.8</v>
      </c>
      <c r="E35" s="77">
        <v>0.85</v>
      </c>
      <c r="F35" s="75">
        <f>C35*D35*E35</f>
        <v>2475846</v>
      </c>
      <c r="G35" s="27"/>
      <c r="H35" s="24"/>
      <c r="I35" s="25">
        <f>ROUNDDOWN(G35*H35,0)</f>
        <v>0</v>
      </c>
      <c r="J35" s="47">
        <v>400</v>
      </c>
      <c r="K35" s="27"/>
      <c r="L35" s="27">
        <f>J36*K35</f>
        <v>0</v>
      </c>
      <c r="M35" s="27" t="e">
        <f>[1]医セ!$H$14</f>
        <v>#REF!</v>
      </c>
      <c r="N35" s="28">
        <v>18.23</v>
      </c>
      <c r="O35" s="27" t="e">
        <f>M35*N35</f>
        <v>#REF!</v>
      </c>
      <c r="P35" s="80" t="e">
        <f>F35+I35+I36+I37+L35+L36+O35+O36</f>
        <v>#REF!</v>
      </c>
      <c r="Q35" s="47" t="e">
        <f>ROUNDDOWN(P35/1.08,0)</f>
        <v>#REF!</v>
      </c>
      <c r="S35" s="5">
        <v>258432</v>
      </c>
      <c r="T35" s="11">
        <f t="shared" si="1"/>
        <v>266184</v>
      </c>
    </row>
    <row r="36" spans="1:20">
      <c r="A36" s="73"/>
      <c r="B36" s="59"/>
      <c r="C36" s="75"/>
      <c r="D36" s="76"/>
      <c r="E36" s="78"/>
      <c r="F36" s="75"/>
      <c r="G36" s="27">
        <v>313800</v>
      </c>
      <c r="H36" s="38">
        <v>13.31</v>
      </c>
      <c r="I36" s="25">
        <f t="shared" si="0"/>
        <v>4176678</v>
      </c>
      <c r="J36" s="47"/>
      <c r="K36" s="22">
        <v>427.68</v>
      </c>
      <c r="L36" s="23">
        <f>J35*K36</f>
        <v>171072</v>
      </c>
      <c r="M36" s="27" t="e">
        <f>[1]医セ!$G$14</f>
        <v>#REF!</v>
      </c>
      <c r="N36" s="28">
        <v>22.11</v>
      </c>
      <c r="O36" s="27" t="e">
        <f>M36*N36</f>
        <v>#REF!</v>
      </c>
      <c r="P36" s="80"/>
      <c r="Q36" s="47"/>
      <c r="S36" s="5"/>
      <c r="T36" s="11">
        <f t="shared" si="1"/>
        <v>0</v>
      </c>
    </row>
    <row r="37" spans="1:20">
      <c r="A37" s="73"/>
      <c r="B37" s="59"/>
      <c r="C37" s="75"/>
      <c r="D37" s="76"/>
      <c r="E37" s="79"/>
      <c r="F37" s="75"/>
      <c r="G37" s="27">
        <v>329208</v>
      </c>
      <c r="H37" s="38">
        <v>8.93</v>
      </c>
      <c r="I37" s="25">
        <f t="shared" si="0"/>
        <v>2939827</v>
      </c>
      <c r="J37" s="47"/>
      <c r="K37" s="29"/>
      <c r="L37" s="30"/>
      <c r="M37" s="30"/>
      <c r="N37" s="29"/>
      <c r="O37" s="30"/>
      <c r="P37" s="80"/>
      <c r="Q37" s="47"/>
      <c r="S37" s="5">
        <v>267744</v>
      </c>
      <c r="T37" s="11">
        <f t="shared" si="1"/>
        <v>275776</v>
      </c>
    </row>
    <row r="38" spans="1:20">
      <c r="A38" s="73"/>
      <c r="B38" s="59" t="s">
        <v>36</v>
      </c>
      <c r="C38" s="75">
        <v>1450</v>
      </c>
      <c r="D38" s="76">
        <v>2008.8</v>
      </c>
      <c r="E38" s="77">
        <v>0.85</v>
      </c>
      <c r="F38" s="75">
        <f>C38*D38*E38</f>
        <v>2475846</v>
      </c>
      <c r="G38" s="27"/>
      <c r="H38" s="24"/>
      <c r="I38" s="25">
        <f>ROUNDDOWN(G38*H38,0)</f>
        <v>0</v>
      </c>
      <c r="J38" s="47">
        <v>400</v>
      </c>
      <c r="K38" s="5"/>
      <c r="L38" s="5">
        <f>J39*K38</f>
        <v>0</v>
      </c>
      <c r="M38" s="5">
        <v>0</v>
      </c>
      <c r="N38" s="17">
        <v>18.23</v>
      </c>
      <c r="O38" s="5">
        <f>M38*N38</f>
        <v>0</v>
      </c>
      <c r="P38" s="47" t="e">
        <f>F38+I38+I39+I40+L38+L39+O38+O39</f>
        <v>#REF!</v>
      </c>
      <c r="Q38" s="47" t="e">
        <f>ROUNDDOWN(P38/1.08,0)</f>
        <v>#REF!</v>
      </c>
      <c r="S38" s="5">
        <v>273120</v>
      </c>
      <c r="T38" s="11">
        <f t="shared" si="1"/>
        <v>281313</v>
      </c>
    </row>
    <row r="39" spans="1:20">
      <c r="A39" s="73"/>
      <c r="B39" s="59"/>
      <c r="C39" s="75"/>
      <c r="D39" s="76"/>
      <c r="E39" s="78"/>
      <c r="F39" s="75"/>
      <c r="G39" s="27">
        <v>302832</v>
      </c>
      <c r="H39" s="38">
        <v>13.31</v>
      </c>
      <c r="I39" s="25">
        <f t="shared" si="0"/>
        <v>4030693</v>
      </c>
      <c r="J39" s="47"/>
      <c r="K39" s="22">
        <v>427.68</v>
      </c>
      <c r="L39" s="23">
        <f>J38*K39</f>
        <v>171072</v>
      </c>
      <c r="M39" s="5" t="e">
        <f>[1]医セ!$G$15</f>
        <v>#REF!</v>
      </c>
      <c r="N39" s="17">
        <v>22.11</v>
      </c>
      <c r="O39" s="5" t="e">
        <f>M39*N39</f>
        <v>#REF!</v>
      </c>
      <c r="P39" s="47"/>
      <c r="Q39" s="47"/>
      <c r="S39" s="5"/>
      <c r="T39" s="11">
        <f t="shared" si="1"/>
        <v>0</v>
      </c>
    </row>
    <row r="40" spans="1:20">
      <c r="A40" s="73"/>
      <c r="B40" s="59"/>
      <c r="C40" s="75"/>
      <c r="D40" s="76"/>
      <c r="E40" s="79"/>
      <c r="F40" s="75"/>
      <c r="G40" s="27">
        <v>270936</v>
      </c>
      <c r="H40" s="38">
        <v>8.93</v>
      </c>
      <c r="I40" s="25">
        <f t="shared" si="0"/>
        <v>2419458</v>
      </c>
      <c r="J40" s="47"/>
      <c r="K40" s="29"/>
      <c r="L40" s="30"/>
      <c r="M40" s="6"/>
      <c r="N40" s="18"/>
      <c r="O40" s="6"/>
      <c r="P40" s="47"/>
      <c r="Q40" s="47"/>
      <c r="S40" s="5">
        <v>282888</v>
      </c>
      <c r="T40" s="11">
        <f t="shared" si="1"/>
        <v>291374</v>
      </c>
    </row>
    <row r="41" spans="1:20">
      <c r="A41" s="73"/>
      <c r="B41" s="59" t="s">
        <v>37</v>
      </c>
      <c r="C41" s="75">
        <v>1450</v>
      </c>
      <c r="D41" s="76">
        <v>2008.8</v>
      </c>
      <c r="E41" s="77">
        <v>0.85</v>
      </c>
      <c r="F41" s="75">
        <f>C41*D41*E41</f>
        <v>2475846</v>
      </c>
      <c r="G41" s="27"/>
      <c r="H41" s="24"/>
      <c r="I41" s="25">
        <f>ROUNDDOWN(G41*H41,0)</f>
        <v>0</v>
      </c>
      <c r="J41" s="47">
        <v>400</v>
      </c>
      <c r="K41" s="27"/>
      <c r="L41" s="27">
        <f>J42*K41</f>
        <v>0</v>
      </c>
      <c r="M41" s="5" t="e">
        <f>[1]医セ!$H$16</f>
        <v>#REF!</v>
      </c>
      <c r="N41" s="17">
        <v>18.23</v>
      </c>
      <c r="O41" s="5" t="e">
        <f>M41*N41</f>
        <v>#REF!</v>
      </c>
      <c r="P41" s="47" t="e">
        <f>F41+I41+I42+I43+L41+L42+O41+O42</f>
        <v>#REF!</v>
      </c>
      <c r="Q41" s="47" t="e">
        <f>ROUNDDOWN(P41/1.08,0)</f>
        <v>#REF!</v>
      </c>
      <c r="S41" s="5">
        <v>226344</v>
      </c>
      <c r="T41" s="11">
        <f t="shared" si="1"/>
        <v>233134</v>
      </c>
    </row>
    <row r="42" spans="1:20">
      <c r="A42" s="73"/>
      <c r="B42" s="59"/>
      <c r="C42" s="75"/>
      <c r="D42" s="76"/>
      <c r="E42" s="78"/>
      <c r="F42" s="75"/>
      <c r="G42" s="27">
        <v>337656</v>
      </c>
      <c r="H42" s="38">
        <v>13.31</v>
      </c>
      <c r="I42" s="25">
        <f t="shared" si="0"/>
        <v>4494201</v>
      </c>
      <c r="J42" s="47"/>
      <c r="K42" s="22">
        <v>427.68</v>
      </c>
      <c r="L42" s="23">
        <f>J41*K42</f>
        <v>171072</v>
      </c>
      <c r="M42" s="5" t="e">
        <f>[1]医セ!$G$16</f>
        <v>#REF!</v>
      </c>
      <c r="N42" s="17">
        <v>22.11</v>
      </c>
      <c r="O42" s="5" t="e">
        <f>M42*N42</f>
        <v>#REF!</v>
      </c>
      <c r="P42" s="47"/>
      <c r="Q42" s="47"/>
      <c r="S42" s="5"/>
      <c r="T42" s="11">
        <f t="shared" si="1"/>
        <v>0</v>
      </c>
    </row>
    <row r="43" spans="1:20">
      <c r="A43" s="74"/>
      <c r="B43" s="59"/>
      <c r="C43" s="75"/>
      <c r="D43" s="76"/>
      <c r="E43" s="79"/>
      <c r="F43" s="75"/>
      <c r="G43" s="27">
        <v>286776</v>
      </c>
      <c r="H43" s="38">
        <v>8.93</v>
      </c>
      <c r="I43" s="25">
        <f t="shared" si="0"/>
        <v>2560909</v>
      </c>
      <c r="J43" s="47"/>
      <c r="K43" s="29"/>
      <c r="L43" s="30"/>
      <c r="M43" s="6"/>
      <c r="N43" s="18"/>
      <c r="O43" s="6"/>
      <c r="P43" s="47"/>
      <c r="Q43" s="47"/>
      <c r="S43" s="5">
        <v>294096</v>
      </c>
      <c r="T43" s="11">
        <f t="shared" si="1"/>
        <v>302918</v>
      </c>
    </row>
    <row r="44" spans="1:20" ht="13.8" thickBot="1">
      <c r="A44" s="59" t="s">
        <v>17</v>
      </c>
      <c r="B44" s="59"/>
      <c r="C44" s="32"/>
      <c r="D44" s="32"/>
      <c r="E44" s="23"/>
      <c r="F44" s="23">
        <f>SUM(F8:F43)</f>
        <v>29710152</v>
      </c>
      <c r="G44" s="27">
        <f>SUM(G8:G43)</f>
        <v>7817904</v>
      </c>
      <c r="H44" s="24"/>
      <c r="I44" s="25">
        <f>SUM(I8:I43)</f>
        <v>89043288</v>
      </c>
      <c r="J44" s="6"/>
      <c r="K44" s="29"/>
      <c r="L44" s="27">
        <f>SUM(L8:L43)</f>
        <v>2052864</v>
      </c>
      <c r="M44" s="5" t="e">
        <f>SUM(M8:M43)</f>
        <v>#REF!</v>
      </c>
      <c r="N44" s="18"/>
      <c r="O44" s="8" t="e">
        <f>SUM(O8:O43)</f>
        <v>#REF!</v>
      </c>
      <c r="P44" s="8" t="e">
        <f>SUM(P8:P43)</f>
        <v>#REF!</v>
      </c>
      <c r="Q44" s="10" t="e">
        <f>ROUNDDOWN(P44/1.08,0)</f>
        <v>#REF!</v>
      </c>
      <c r="S44" s="5">
        <v>235896</v>
      </c>
      <c r="T44" s="11">
        <f t="shared" si="1"/>
        <v>242972</v>
      </c>
    </row>
    <row r="45" spans="1:20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7" t="s">
        <v>38</v>
      </c>
      <c r="P45" s="69" t="e">
        <f>P44</f>
        <v>#REF!</v>
      </c>
      <c r="Q45" s="67" t="e">
        <f>Q44</f>
        <v>#REF!</v>
      </c>
      <c r="S45" s="5">
        <f>SUM(S9:S44)</f>
        <v>6619080</v>
      </c>
      <c r="T45" s="11">
        <f>SUM(T9:T44)</f>
        <v>6817638</v>
      </c>
    </row>
    <row r="46" spans="1:20" ht="17.25" customHeight="1" thickBot="1">
      <c r="A46" s="2"/>
      <c r="B46" s="2"/>
      <c r="C46" t="s">
        <v>43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8"/>
      <c r="P46" s="70"/>
      <c r="Q46" s="68"/>
    </row>
    <row r="47" spans="1:20" s="12" customFormat="1" ht="17.25" customHeight="1">
      <c r="A47" s="11"/>
      <c r="B47" s="11"/>
      <c r="C47" s="12" t="s">
        <v>44</v>
      </c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</row>
    <row r="48" spans="1:20" s="12" customFormat="1" ht="17.25" customHeight="1">
      <c r="A48" s="11"/>
      <c r="B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5"/>
      <c r="P48" s="16"/>
    </row>
    <row r="49" spans="1:17" ht="17.25" customHeight="1">
      <c r="A49" s="2"/>
      <c r="B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14"/>
      <c r="Q49" s="2"/>
    </row>
    <row r="50" spans="1:17">
      <c r="A50" s="2"/>
      <c r="B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</row>
    <row r="51" spans="1:17">
      <c r="A51" s="2"/>
      <c r="B51" s="2"/>
      <c r="C51" s="12"/>
      <c r="D51" s="2"/>
      <c r="E51" s="2"/>
      <c r="F51" s="2"/>
      <c r="G51" s="2"/>
      <c r="H51" s="2"/>
      <c r="I51" s="2"/>
      <c r="J51" s="2"/>
      <c r="L51" s="2"/>
      <c r="M51" s="2"/>
      <c r="N51" s="2"/>
      <c r="O51" s="2"/>
      <c r="P51" s="2"/>
      <c r="Q51" s="2"/>
    </row>
    <row r="52" spans="1:17">
      <c r="A52" s="2"/>
      <c r="B52" s="2"/>
      <c r="C52" s="1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Q52" s="2"/>
    </row>
    <row r="53" spans="1:17">
      <c r="A53" s="2"/>
      <c r="B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Q53" s="2"/>
    </row>
  </sheetData>
  <mergeCells count="123">
    <mergeCell ref="A44:B44"/>
    <mergeCell ref="O45:O46"/>
    <mergeCell ref="P45:P46"/>
    <mergeCell ref="Q45:Q46"/>
    <mergeCell ref="Q38:Q40"/>
    <mergeCell ref="B41:B43"/>
    <mergeCell ref="C41:C43"/>
    <mergeCell ref="D41:D43"/>
    <mergeCell ref="E41:E43"/>
    <mergeCell ref="F41:F43"/>
    <mergeCell ref="J41:J43"/>
    <mergeCell ref="P41:P43"/>
    <mergeCell ref="Q41:Q43"/>
    <mergeCell ref="A35:A43"/>
    <mergeCell ref="J35:J37"/>
    <mergeCell ref="P35:P37"/>
    <mergeCell ref="Q35:Q37"/>
    <mergeCell ref="B38:B40"/>
    <mergeCell ref="C38:C40"/>
    <mergeCell ref="D38:D40"/>
    <mergeCell ref="E38:E40"/>
    <mergeCell ref="F38:F40"/>
    <mergeCell ref="J38:J40"/>
    <mergeCell ref="P38:P40"/>
    <mergeCell ref="B35:B37"/>
    <mergeCell ref="C35:C37"/>
    <mergeCell ref="D35:D37"/>
    <mergeCell ref="E35:E37"/>
    <mergeCell ref="F35:F37"/>
    <mergeCell ref="P29:P31"/>
    <mergeCell ref="Q29:Q31"/>
    <mergeCell ref="B32:B34"/>
    <mergeCell ref="C32:C34"/>
    <mergeCell ref="D32:D34"/>
    <mergeCell ref="E32:E34"/>
    <mergeCell ref="F32:F34"/>
    <mergeCell ref="J32:J34"/>
    <mergeCell ref="P32:P34"/>
    <mergeCell ref="Q32:Q34"/>
    <mergeCell ref="B29:B31"/>
    <mergeCell ref="C29:C31"/>
    <mergeCell ref="D29:D31"/>
    <mergeCell ref="E29:E31"/>
    <mergeCell ref="F29:F31"/>
    <mergeCell ref="J29:J31"/>
    <mergeCell ref="P23:P25"/>
    <mergeCell ref="Q23:Q25"/>
    <mergeCell ref="B26:B28"/>
    <mergeCell ref="C26:C28"/>
    <mergeCell ref="D26:D28"/>
    <mergeCell ref="E26:E28"/>
    <mergeCell ref="F26:F28"/>
    <mergeCell ref="J26:J28"/>
    <mergeCell ref="P26:P28"/>
    <mergeCell ref="Q26:Q28"/>
    <mergeCell ref="B23:B25"/>
    <mergeCell ref="C23:C25"/>
    <mergeCell ref="D23:D25"/>
    <mergeCell ref="E23:E25"/>
    <mergeCell ref="F23:F25"/>
    <mergeCell ref="J23:J25"/>
    <mergeCell ref="J14:J16"/>
    <mergeCell ref="P14:P16"/>
    <mergeCell ref="Q14:Q16"/>
    <mergeCell ref="P17:P19"/>
    <mergeCell ref="Q17:Q19"/>
    <mergeCell ref="B20:B22"/>
    <mergeCell ref="C20:C22"/>
    <mergeCell ref="D20:D22"/>
    <mergeCell ref="E20:E22"/>
    <mergeCell ref="F20:F22"/>
    <mergeCell ref="J20:J22"/>
    <mergeCell ref="P20:P22"/>
    <mergeCell ref="Q20:Q22"/>
    <mergeCell ref="B17:B19"/>
    <mergeCell ref="C17:C19"/>
    <mergeCell ref="D17:D19"/>
    <mergeCell ref="E17:E19"/>
    <mergeCell ref="F17:F19"/>
    <mergeCell ref="J17:J19"/>
    <mergeCell ref="J8:J10"/>
    <mergeCell ref="P8:P10"/>
    <mergeCell ref="Q8:Q10"/>
    <mergeCell ref="B11:B13"/>
    <mergeCell ref="C11:C13"/>
    <mergeCell ref="D11:D13"/>
    <mergeCell ref="E11:E13"/>
    <mergeCell ref="F11:F13"/>
    <mergeCell ref="J11:J13"/>
    <mergeCell ref="P11:P13"/>
    <mergeCell ref="Q11:Q13"/>
    <mergeCell ref="A8:A34"/>
    <mergeCell ref="B8:B10"/>
    <mergeCell ref="C8:C10"/>
    <mergeCell ref="D8:D10"/>
    <mergeCell ref="E8:E10"/>
    <mergeCell ref="C5:C6"/>
    <mergeCell ref="D5:D6"/>
    <mergeCell ref="E5:E6"/>
    <mergeCell ref="F5:F6"/>
    <mergeCell ref="F8:F10"/>
    <mergeCell ref="B14:B16"/>
    <mergeCell ref="C14:C16"/>
    <mergeCell ref="D14:D16"/>
    <mergeCell ref="E14:E16"/>
    <mergeCell ref="F14:F16"/>
    <mergeCell ref="A1:Q1"/>
    <mergeCell ref="A3:B7"/>
    <mergeCell ref="C3:I3"/>
    <mergeCell ref="J3:O3"/>
    <mergeCell ref="P3:P6"/>
    <mergeCell ref="Q3:Q6"/>
    <mergeCell ref="C4:F4"/>
    <mergeCell ref="G4:I4"/>
    <mergeCell ref="J4:L4"/>
    <mergeCell ref="M4:O4"/>
    <mergeCell ref="J5:J6"/>
    <mergeCell ref="K5:K6"/>
    <mergeCell ref="L5:L6"/>
    <mergeCell ref="N5:N6"/>
    <mergeCell ref="O5:O6"/>
    <mergeCell ref="H5:H6"/>
    <mergeCell ref="I5:I6"/>
  </mergeCells>
  <phoneticPr fontId="2"/>
  <printOptions horizontalCentered="1"/>
  <pageMargins left="0.51181102362204722" right="0.47244094488188981" top="0.82677165354330717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4"/>
  <sheetViews>
    <sheetView zoomScaleNormal="100" zoomScaleSheetLayoutView="90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G44" sqref="G44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8" width="11" bestFit="1" customWidth="1"/>
    <col min="9" max="9" width="14.44140625" customWidth="1"/>
    <col min="11" max="11" width="10" customWidth="1"/>
    <col min="12" max="12" width="9.77734375" bestFit="1" customWidth="1"/>
  </cols>
  <sheetData>
    <row r="1" spans="1:12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</row>
    <row r="2" spans="1:12" ht="26.25" customHeight="1">
      <c r="A2" s="82"/>
      <c r="B2" s="82"/>
      <c r="C2" s="82"/>
      <c r="D2" s="82"/>
      <c r="E2" s="82"/>
      <c r="F2" s="82"/>
      <c r="G2" s="82"/>
      <c r="H2" s="82"/>
      <c r="I2" s="82"/>
    </row>
    <row r="3" spans="1:12" ht="13.5" customHeight="1">
      <c r="A3" s="52" t="s">
        <v>0</v>
      </c>
      <c r="B3" s="63"/>
      <c r="C3" s="53" t="s">
        <v>1</v>
      </c>
      <c r="D3" s="54"/>
      <c r="E3" s="54"/>
      <c r="F3" s="54"/>
      <c r="G3" s="54"/>
      <c r="H3" s="54"/>
      <c r="I3" s="55"/>
    </row>
    <row r="4" spans="1:12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</row>
    <row r="5" spans="1:12" ht="13.5" customHeight="1">
      <c r="A5" s="63"/>
      <c r="B5" s="63"/>
      <c r="C5" s="52" t="s">
        <v>4</v>
      </c>
      <c r="D5" s="65" t="s">
        <v>34</v>
      </c>
      <c r="E5" s="62" t="s">
        <v>33</v>
      </c>
      <c r="F5" s="52" t="s">
        <v>27</v>
      </c>
      <c r="G5" s="1" t="s">
        <v>5</v>
      </c>
      <c r="H5" s="52" t="s">
        <v>6</v>
      </c>
      <c r="I5" s="52" t="s">
        <v>26</v>
      </c>
    </row>
    <row r="6" spans="1:12" ht="28.8">
      <c r="A6" s="63"/>
      <c r="B6" s="63"/>
      <c r="C6" s="52"/>
      <c r="D6" s="52"/>
      <c r="E6" s="61"/>
      <c r="F6" s="52"/>
      <c r="G6" s="3" t="s">
        <v>8</v>
      </c>
      <c r="H6" s="52"/>
      <c r="I6" s="52"/>
    </row>
    <row r="7" spans="1:12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 t="s">
        <v>10</v>
      </c>
      <c r="I7" s="1" t="s">
        <v>10</v>
      </c>
    </row>
    <row r="8" spans="1:12" ht="13.5" customHeight="1">
      <c r="A8" s="83" t="s">
        <v>63</v>
      </c>
      <c r="B8" s="59" t="s">
        <v>23</v>
      </c>
      <c r="C8" s="75">
        <v>1450</v>
      </c>
      <c r="D8" s="76">
        <v>2008.8</v>
      </c>
      <c r="E8" s="77">
        <v>0.85</v>
      </c>
      <c r="F8" s="75">
        <f>C8*D8*E8</f>
        <v>2475846</v>
      </c>
      <c r="G8" s="27"/>
      <c r="H8" s="24"/>
      <c r="I8" s="25">
        <f>ROUNDDOWN(G8*H8,0)</f>
        <v>0</v>
      </c>
      <c r="L8" s="11"/>
    </row>
    <row r="9" spans="1:12">
      <c r="A9" s="84"/>
      <c r="B9" s="59"/>
      <c r="C9" s="75"/>
      <c r="D9" s="76"/>
      <c r="E9" s="78"/>
      <c r="F9" s="75"/>
      <c r="G9" s="27">
        <v>280344</v>
      </c>
      <c r="H9" s="26">
        <v>13.25</v>
      </c>
      <c r="I9" s="25">
        <f t="shared" ref="I9:I43" si="0">ROUNDDOWN(G9*H9,0)</f>
        <v>3714558</v>
      </c>
      <c r="K9" s="5"/>
      <c r="L9" s="11">
        <f>ROUNDDOWN(K9*1.03,0)</f>
        <v>0</v>
      </c>
    </row>
    <row r="10" spans="1:12">
      <c r="A10" s="84"/>
      <c r="B10" s="59"/>
      <c r="C10" s="75"/>
      <c r="D10" s="76"/>
      <c r="E10" s="79"/>
      <c r="F10" s="75"/>
      <c r="G10" s="27">
        <v>269717</v>
      </c>
      <c r="H10" s="26">
        <v>8.8699999999999992</v>
      </c>
      <c r="I10" s="25">
        <f t="shared" si="0"/>
        <v>2392389</v>
      </c>
      <c r="K10" s="5">
        <v>262416</v>
      </c>
      <c r="L10" s="11">
        <f t="shared" ref="L10:L44" si="1">ROUNDDOWN(K10*1.03,0)</f>
        <v>270288</v>
      </c>
    </row>
    <row r="11" spans="1:12" ht="13.5" customHeight="1">
      <c r="A11" s="84"/>
      <c r="B11" s="59" t="s">
        <v>24</v>
      </c>
      <c r="C11" s="75">
        <v>1450</v>
      </c>
      <c r="D11" s="76">
        <v>2008.8</v>
      </c>
      <c r="E11" s="77">
        <v>0.85</v>
      </c>
      <c r="F11" s="75">
        <f>C11*D11*E11</f>
        <v>2475846</v>
      </c>
      <c r="G11" s="27"/>
      <c r="H11" s="24"/>
      <c r="I11" s="25">
        <f>ROUNDDOWN(G11*H11,0)</f>
        <v>0</v>
      </c>
      <c r="K11" s="5">
        <v>232032</v>
      </c>
      <c r="L11" s="11">
        <f t="shared" si="1"/>
        <v>238992</v>
      </c>
    </row>
    <row r="12" spans="1:12">
      <c r="A12" s="84"/>
      <c r="B12" s="59"/>
      <c r="C12" s="75"/>
      <c r="D12" s="76"/>
      <c r="E12" s="78"/>
      <c r="F12" s="75"/>
      <c r="G12" s="27">
        <v>294356</v>
      </c>
      <c r="H12" s="26">
        <v>13.25</v>
      </c>
      <c r="I12" s="25">
        <f t="shared" si="0"/>
        <v>3900217</v>
      </c>
      <c r="K12" s="5"/>
      <c r="L12" s="11">
        <f t="shared" si="1"/>
        <v>0</v>
      </c>
    </row>
    <row r="13" spans="1:12">
      <c r="A13" s="84"/>
      <c r="B13" s="59"/>
      <c r="C13" s="75"/>
      <c r="D13" s="76"/>
      <c r="E13" s="79"/>
      <c r="F13" s="75"/>
      <c r="G13" s="27">
        <v>318412</v>
      </c>
      <c r="H13" s="26">
        <v>8.8699999999999992</v>
      </c>
      <c r="I13" s="25">
        <f t="shared" si="0"/>
        <v>2824314</v>
      </c>
      <c r="K13" s="5">
        <v>276024</v>
      </c>
      <c r="L13" s="11">
        <f t="shared" si="1"/>
        <v>284304</v>
      </c>
    </row>
    <row r="14" spans="1:12" ht="13.5" customHeight="1">
      <c r="A14" s="84"/>
      <c r="B14" s="59" t="s">
        <v>25</v>
      </c>
      <c r="C14" s="75">
        <v>1450</v>
      </c>
      <c r="D14" s="76">
        <v>2008.8</v>
      </c>
      <c r="E14" s="77">
        <v>0.85</v>
      </c>
      <c r="F14" s="75">
        <f>C14*D14*E14</f>
        <v>2475846</v>
      </c>
      <c r="G14" s="27"/>
      <c r="H14" s="24"/>
      <c r="I14" s="25">
        <f>ROUNDDOWN(G14*H14,0)</f>
        <v>0</v>
      </c>
      <c r="K14" s="5">
        <v>283488</v>
      </c>
      <c r="L14" s="11">
        <f t="shared" si="1"/>
        <v>291992</v>
      </c>
    </row>
    <row r="15" spans="1:12">
      <c r="A15" s="84"/>
      <c r="B15" s="59"/>
      <c r="C15" s="75"/>
      <c r="D15" s="76"/>
      <c r="E15" s="78"/>
      <c r="F15" s="75"/>
      <c r="G15" s="27">
        <v>385938</v>
      </c>
      <c r="H15" s="26">
        <v>13.25</v>
      </c>
      <c r="I15" s="25">
        <f t="shared" si="0"/>
        <v>5113678</v>
      </c>
      <c r="K15" s="5"/>
      <c r="L15" s="11">
        <f t="shared" si="1"/>
        <v>0</v>
      </c>
    </row>
    <row r="16" spans="1:12">
      <c r="A16" s="84"/>
      <c r="B16" s="59"/>
      <c r="C16" s="75"/>
      <c r="D16" s="76"/>
      <c r="E16" s="79"/>
      <c r="F16" s="75"/>
      <c r="G16" s="27">
        <v>284850</v>
      </c>
      <c r="H16" s="26">
        <v>8.8699999999999992</v>
      </c>
      <c r="I16" s="25">
        <f t="shared" si="0"/>
        <v>2526619</v>
      </c>
      <c r="K16" s="5">
        <v>338616</v>
      </c>
      <c r="L16" s="11">
        <f t="shared" si="1"/>
        <v>348774</v>
      </c>
    </row>
    <row r="17" spans="1:12" ht="13.5" customHeight="1">
      <c r="A17" s="84"/>
      <c r="B17" s="59" t="s">
        <v>11</v>
      </c>
      <c r="C17" s="75">
        <v>1450</v>
      </c>
      <c r="D17" s="76">
        <v>2008.8</v>
      </c>
      <c r="E17" s="77">
        <v>0.85</v>
      </c>
      <c r="F17" s="75">
        <f>C17*D17*E17</f>
        <v>2475846</v>
      </c>
      <c r="G17" s="27">
        <v>85551</v>
      </c>
      <c r="H17" s="26">
        <v>16.61</v>
      </c>
      <c r="I17" s="25">
        <f>ROUNDDOWN(G17*H17,0)</f>
        <v>1421002</v>
      </c>
      <c r="K17" s="5">
        <v>235728</v>
      </c>
      <c r="L17" s="11">
        <f t="shared" si="1"/>
        <v>242799</v>
      </c>
    </row>
    <row r="18" spans="1:12">
      <c r="A18" s="84"/>
      <c r="B18" s="59"/>
      <c r="C18" s="75"/>
      <c r="D18" s="76"/>
      <c r="E18" s="78"/>
      <c r="F18" s="75"/>
      <c r="G18" s="27">
        <v>305341</v>
      </c>
      <c r="H18" s="26">
        <v>14.19</v>
      </c>
      <c r="I18" s="25">
        <f t="shared" si="0"/>
        <v>4332788</v>
      </c>
      <c r="K18" s="5">
        <v>74976</v>
      </c>
      <c r="L18" s="11">
        <f t="shared" si="1"/>
        <v>77225</v>
      </c>
    </row>
    <row r="19" spans="1:12">
      <c r="A19" s="84"/>
      <c r="B19" s="59"/>
      <c r="C19" s="75"/>
      <c r="D19" s="76"/>
      <c r="E19" s="79"/>
      <c r="F19" s="75"/>
      <c r="G19" s="27">
        <v>389624</v>
      </c>
      <c r="H19" s="26">
        <v>8.8699999999999992</v>
      </c>
      <c r="I19" s="25">
        <f t="shared" si="0"/>
        <v>3455964</v>
      </c>
      <c r="K19" s="5">
        <v>254904</v>
      </c>
      <c r="L19" s="11">
        <f t="shared" si="1"/>
        <v>262551</v>
      </c>
    </row>
    <row r="20" spans="1:12" ht="13.5" customHeight="1">
      <c r="A20" s="84"/>
      <c r="B20" s="59" t="s">
        <v>12</v>
      </c>
      <c r="C20" s="75">
        <v>1450</v>
      </c>
      <c r="D20" s="76">
        <v>2008.8</v>
      </c>
      <c r="E20" s="77">
        <v>0.85</v>
      </c>
      <c r="F20" s="75">
        <f>C20*D20*E20</f>
        <v>2475846</v>
      </c>
      <c r="G20" s="27">
        <v>91869</v>
      </c>
      <c r="H20" s="26">
        <v>16.61</v>
      </c>
      <c r="I20" s="25">
        <f>ROUNDDOWN(G20*H20,0)</f>
        <v>1525944</v>
      </c>
      <c r="K20" s="5">
        <v>271728</v>
      </c>
      <c r="L20" s="11">
        <f t="shared" si="1"/>
        <v>279879</v>
      </c>
    </row>
    <row r="21" spans="1:12">
      <c r="A21" s="84"/>
      <c r="B21" s="59"/>
      <c r="C21" s="75"/>
      <c r="D21" s="76"/>
      <c r="E21" s="78"/>
      <c r="F21" s="75"/>
      <c r="G21" s="27">
        <v>320542</v>
      </c>
      <c r="H21" s="26">
        <v>14.19</v>
      </c>
      <c r="I21" s="25">
        <f t="shared" si="0"/>
        <v>4548490</v>
      </c>
      <c r="K21" s="5">
        <v>84408</v>
      </c>
      <c r="L21" s="11">
        <f t="shared" si="1"/>
        <v>86940</v>
      </c>
    </row>
    <row r="22" spans="1:12">
      <c r="A22" s="84"/>
      <c r="B22" s="59"/>
      <c r="C22" s="75"/>
      <c r="D22" s="76"/>
      <c r="E22" s="79"/>
      <c r="F22" s="75"/>
      <c r="G22" s="27">
        <v>377079</v>
      </c>
      <c r="H22" s="26">
        <v>8.8699999999999992</v>
      </c>
      <c r="I22" s="25">
        <f t="shared" si="0"/>
        <v>3344690</v>
      </c>
      <c r="K22" s="5">
        <v>284880</v>
      </c>
      <c r="L22" s="11">
        <f t="shared" si="1"/>
        <v>293426</v>
      </c>
    </row>
    <row r="23" spans="1:12" ht="13.5" customHeight="1">
      <c r="A23" s="84"/>
      <c r="B23" s="59" t="s">
        <v>13</v>
      </c>
      <c r="C23" s="75">
        <v>1450</v>
      </c>
      <c r="D23" s="76">
        <v>2008.8</v>
      </c>
      <c r="E23" s="77">
        <v>0.85</v>
      </c>
      <c r="F23" s="75">
        <f>C23*D23*E23</f>
        <v>2475846</v>
      </c>
      <c r="G23" s="27">
        <v>78391</v>
      </c>
      <c r="H23" s="26">
        <v>16.61</v>
      </c>
      <c r="I23" s="25">
        <f>ROUNDDOWN(G23*H23,0)</f>
        <v>1302074</v>
      </c>
      <c r="K23" s="5">
        <v>297264</v>
      </c>
      <c r="L23" s="11">
        <f t="shared" si="1"/>
        <v>306181</v>
      </c>
    </row>
    <row r="24" spans="1:12">
      <c r="A24" s="84"/>
      <c r="B24" s="59"/>
      <c r="C24" s="75"/>
      <c r="D24" s="76"/>
      <c r="E24" s="78"/>
      <c r="F24" s="75"/>
      <c r="G24" s="27">
        <v>270491</v>
      </c>
      <c r="H24" s="26">
        <v>14.19</v>
      </c>
      <c r="I24" s="25">
        <f t="shared" si="0"/>
        <v>3838267</v>
      </c>
      <c r="K24" s="5">
        <v>63600</v>
      </c>
      <c r="L24" s="11">
        <f t="shared" si="1"/>
        <v>65508</v>
      </c>
    </row>
    <row r="25" spans="1:12">
      <c r="A25" s="84"/>
      <c r="B25" s="59"/>
      <c r="C25" s="75"/>
      <c r="D25" s="76"/>
      <c r="E25" s="79"/>
      <c r="F25" s="75"/>
      <c r="G25" s="39">
        <v>328088</v>
      </c>
      <c r="H25" s="26">
        <v>8.8699999999999992</v>
      </c>
      <c r="I25" s="25">
        <f t="shared" si="0"/>
        <v>2910140</v>
      </c>
      <c r="K25" s="5">
        <v>222984</v>
      </c>
      <c r="L25" s="11">
        <f t="shared" si="1"/>
        <v>229673</v>
      </c>
    </row>
    <row r="26" spans="1:12" ht="13.5" customHeight="1">
      <c r="A26" s="84"/>
      <c r="B26" s="59" t="s">
        <v>14</v>
      </c>
      <c r="C26" s="75">
        <v>1450</v>
      </c>
      <c r="D26" s="76">
        <v>2008.8</v>
      </c>
      <c r="E26" s="77">
        <v>0.85</v>
      </c>
      <c r="F26" s="75">
        <f>C26*D26*E26</f>
        <v>2475846</v>
      </c>
      <c r="G26" s="27"/>
      <c r="H26" s="24"/>
      <c r="I26" s="25">
        <f>ROUNDDOWN(G26*H26,0)</f>
        <v>0</v>
      </c>
      <c r="K26" s="13">
        <v>287904</v>
      </c>
      <c r="L26" s="11">
        <f t="shared" si="1"/>
        <v>296541</v>
      </c>
    </row>
    <row r="27" spans="1:12">
      <c r="A27" s="84"/>
      <c r="B27" s="59"/>
      <c r="C27" s="75"/>
      <c r="D27" s="76"/>
      <c r="E27" s="78"/>
      <c r="F27" s="75"/>
      <c r="G27" s="27">
        <v>336269</v>
      </c>
      <c r="H27" s="26">
        <v>13.25</v>
      </c>
      <c r="I27" s="25">
        <f t="shared" si="0"/>
        <v>4455564</v>
      </c>
      <c r="K27" s="5"/>
      <c r="L27" s="11">
        <f t="shared" si="1"/>
        <v>0</v>
      </c>
    </row>
    <row r="28" spans="1:12">
      <c r="A28" s="84"/>
      <c r="B28" s="59"/>
      <c r="C28" s="75"/>
      <c r="D28" s="76"/>
      <c r="E28" s="79"/>
      <c r="F28" s="75"/>
      <c r="G28" s="27">
        <v>305138</v>
      </c>
      <c r="H28" s="26">
        <v>8.8699999999999992</v>
      </c>
      <c r="I28" s="25">
        <f t="shared" si="0"/>
        <v>2706574</v>
      </c>
      <c r="K28" s="5">
        <v>309216</v>
      </c>
      <c r="L28" s="11">
        <f t="shared" si="1"/>
        <v>318492</v>
      </c>
    </row>
    <row r="29" spans="1:12" ht="13.5" customHeight="1">
      <c r="A29" s="84"/>
      <c r="B29" s="59" t="s">
        <v>15</v>
      </c>
      <c r="C29" s="75">
        <v>1450</v>
      </c>
      <c r="D29" s="76">
        <v>2008.8</v>
      </c>
      <c r="E29" s="77">
        <v>0.85</v>
      </c>
      <c r="F29" s="75">
        <f>C29*D29*E29</f>
        <v>2475846</v>
      </c>
      <c r="G29" s="27"/>
      <c r="H29" s="24"/>
      <c r="I29" s="25">
        <f>ROUNDDOWN(G29*H29,0)</f>
        <v>0</v>
      </c>
      <c r="K29" s="5">
        <v>242160</v>
      </c>
      <c r="L29" s="11">
        <f t="shared" si="1"/>
        <v>249424</v>
      </c>
    </row>
    <row r="30" spans="1:12">
      <c r="A30" s="84"/>
      <c r="B30" s="59"/>
      <c r="C30" s="75"/>
      <c r="D30" s="76"/>
      <c r="E30" s="78"/>
      <c r="F30" s="75"/>
      <c r="G30" s="27">
        <v>293894</v>
      </c>
      <c r="H30" s="26">
        <v>13.25</v>
      </c>
      <c r="I30" s="25">
        <f t="shared" si="0"/>
        <v>3894095</v>
      </c>
      <c r="K30" s="5"/>
      <c r="L30" s="11">
        <f t="shared" si="1"/>
        <v>0</v>
      </c>
    </row>
    <row r="31" spans="1:12">
      <c r="A31" s="84"/>
      <c r="B31" s="59"/>
      <c r="C31" s="75"/>
      <c r="D31" s="76"/>
      <c r="E31" s="79"/>
      <c r="F31" s="75"/>
      <c r="G31" s="27">
        <v>288464</v>
      </c>
      <c r="H31" s="26">
        <v>8.8699999999999992</v>
      </c>
      <c r="I31" s="25">
        <f t="shared" si="0"/>
        <v>2558675</v>
      </c>
      <c r="K31" s="5">
        <v>261912</v>
      </c>
      <c r="L31" s="11">
        <f t="shared" si="1"/>
        <v>269769</v>
      </c>
    </row>
    <row r="32" spans="1:12" ht="13.5" customHeight="1">
      <c r="A32" s="84"/>
      <c r="B32" s="59" t="s">
        <v>16</v>
      </c>
      <c r="C32" s="75">
        <v>1450</v>
      </c>
      <c r="D32" s="76">
        <v>2008.8</v>
      </c>
      <c r="E32" s="77">
        <v>0.85</v>
      </c>
      <c r="F32" s="75">
        <f>C32*D32*E32</f>
        <v>2475846</v>
      </c>
      <c r="G32" s="27"/>
      <c r="H32" s="24"/>
      <c r="I32" s="25">
        <f>ROUNDDOWN(G32*H32,0)</f>
        <v>0</v>
      </c>
      <c r="K32" s="5">
        <v>229344</v>
      </c>
      <c r="L32" s="11">
        <f t="shared" si="1"/>
        <v>236224</v>
      </c>
    </row>
    <row r="33" spans="1:12">
      <c r="A33" s="84"/>
      <c r="B33" s="59"/>
      <c r="C33" s="75"/>
      <c r="D33" s="76"/>
      <c r="E33" s="78"/>
      <c r="F33" s="75"/>
      <c r="G33" s="27">
        <v>326463</v>
      </c>
      <c r="H33" s="26">
        <v>13.25</v>
      </c>
      <c r="I33" s="25">
        <f t="shared" si="0"/>
        <v>4325634</v>
      </c>
      <c r="K33" s="5"/>
      <c r="L33" s="11">
        <f t="shared" si="1"/>
        <v>0</v>
      </c>
    </row>
    <row r="34" spans="1:12">
      <c r="A34" s="85"/>
      <c r="B34" s="59"/>
      <c r="C34" s="75"/>
      <c r="D34" s="76"/>
      <c r="E34" s="79"/>
      <c r="F34" s="75"/>
      <c r="G34" s="27">
        <v>326788</v>
      </c>
      <c r="H34" s="26">
        <v>8.8699999999999992</v>
      </c>
      <c r="I34" s="25">
        <f t="shared" si="0"/>
        <v>2898609</v>
      </c>
      <c r="K34" s="5">
        <v>266976</v>
      </c>
      <c r="L34" s="11">
        <f t="shared" si="1"/>
        <v>274985</v>
      </c>
    </row>
    <row r="35" spans="1:12">
      <c r="A35" s="84" t="s">
        <v>64</v>
      </c>
      <c r="B35" s="59" t="s">
        <v>35</v>
      </c>
      <c r="C35" s="75">
        <v>1450</v>
      </c>
      <c r="D35" s="76">
        <v>2008.8</v>
      </c>
      <c r="E35" s="77">
        <v>0.85</v>
      </c>
      <c r="F35" s="75">
        <f>C35*D35*E35</f>
        <v>2475846</v>
      </c>
      <c r="G35" s="27"/>
      <c r="H35" s="24"/>
      <c r="I35" s="25">
        <f>ROUNDDOWN(G35*H35,0)</f>
        <v>0</v>
      </c>
      <c r="K35" s="5">
        <v>258432</v>
      </c>
      <c r="L35" s="11">
        <f t="shared" si="1"/>
        <v>266184</v>
      </c>
    </row>
    <row r="36" spans="1:12">
      <c r="A36" s="84"/>
      <c r="B36" s="59"/>
      <c r="C36" s="75"/>
      <c r="D36" s="76"/>
      <c r="E36" s="78"/>
      <c r="F36" s="75"/>
      <c r="G36" s="27">
        <v>317300</v>
      </c>
      <c r="H36" s="26">
        <v>13.25</v>
      </c>
      <c r="I36" s="25">
        <f t="shared" si="0"/>
        <v>4204225</v>
      </c>
      <c r="K36" s="5"/>
      <c r="L36" s="11">
        <f t="shared" si="1"/>
        <v>0</v>
      </c>
    </row>
    <row r="37" spans="1:12">
      <c r="A37" s="84"/>
      <c r="B37" s="59"/>
      <c r="C37" s="75"/>
      <c r="D37" s="76"/>
      <c r="E37" s="79"/>
      <c r="F37" s="75"/>
      <c r="G37" s="27">
        <v>353726</v>
      </c>
      <c r="H37" s="26">
        <v>8.8699999999999992</v>
      </c>
      <c r="I37" s="25">
        <f t="shared" si="0"/>
        <v>3137549</v>
      </c>
      <c r="K37" s="5">
        <v>267744</v>
      </c>
      <c r="L37" s="11">
        <f t="shared" si="1"/>
        <v>275776</v>
      </c>
    </row>
    <row r="38" spans="1:12">
      <c r="A38" s="84"/>
      <c r="B38" s="59" t="s">
        <v>36</v>
      </c>
      <c r="C38" s="75">
        <v>1450</v>
      </c>
      <c r="D38" s="76">
        <v>2008.8</v>
      </c>
      <c r="E38" s="77">
        <v>0.85</v>
      </c>
      <c r="F38" s="75">
        <f>C38*D38*E38</f>
        <v>2475846</v>
      </c>
      <c r="G38" s="27"/>
      <c r="H38" s="24"/>
      <c r="I38" s="25">
        <f>ROUNDDOWN(G38*H38,0)</f>
        <v>0</v>
      </c>
      <c r="K38" s="5">
        <v>273120</v>
      </c>
      <c r="L38" s="11">
        <f t="shared" si="1"/>
        <v>281313</v>
      </c>
    </row>
    <row r="39" spans="1:12">
      <c r="A39" s="84"/>
      <c r="B39" s="59"/>
      <c r="C39" s="75"/>
      <c r="D39" s="76"/>
      <c r="E39" s="78"/>
      <c r="F39" s="75"/>
      <c r="G39" s="27">
        <v>318334</v>
      </c>
      <c r="H39" s="26">
        <v>13.25</v>
      </c>
      <c r="I39" s="25">
        <f t="shared" si="0"/>
        <v>4217925</v>
      </c>
      <c r="K39" s="5"/>
      <c r="L39" s="11">
        <f t="shared" si="1"/>
        <v>0</v>
      </c>
    </row>
    <row r="40" spans="1:12">
      <c r="A40" s="84"/>
      <c r="B40" s="59"/>
      <c r="C40" s="75"/>
      <c r="D40" s="76"/>
      <c r="E40" s="79"/>
      <c r="F40" s="75"/>
      <c r="G40" s="27">
        <v>291014</v>
      </c>
      <c r="H40" s="26">
        <v>8.8699999999999992</v>
      </c>
      <c r="I40" s="25">
        <f t="shared" si="0"/>
        <v>2581294</v>
      </c>
      <c r="K40" s="5">
        <v>282888</v>
      </c>
      <c r="L40" s="11">
        <f t="shared" si="1"/>
        <v>291374</v>
      </c>
    </row>
    <row r="41" spans="1:12">
      <c r="A41" s="84"/>
      <c r="B41" s="59" t="s">
        <v>37</v>
      </c>
      <c r="C41" s="75">
        <v>1450</v>
      </c>
      <c r="D41" s="76">
        <v>2008.8</v>
      </c>
      <c r="E41" s="77">
        <v>0.85</v>
      </c>
      <c r="F41" s="75">
        <f>C41*D41*E41</f>
        <v>2475846</v>
      </c>
      <c r="G41" s="27"/>
      <c r="H41" s="24"/>
      <c r="I41" s="25">
        <f>ROUNDDOWN(G41*H41,0)</f>
        <v>0</v>
      </c>
      <c r="K41" s="5">
        <v>226344</v>
      </c>
      <c r="L41" s="11">
        <f t="shared" si="1"/>
        <v>233134</v>
      </c>
    </row>
    <row r="42" spans="1:12">
      <c r="A42" s="84"/>
      <c r="B42" s="59"/>
      <c r="C42" s="75"/>
      <c r="D42" s="76"/>
      <c r="E42" s="78"/>
      <c r="F42" s="75"/>
      <c r="G42" s="27">
        <v>327878</v>
      </c>
      <c r="H42" s="26">
        <v>13.25</v>
      </c>
      <c r="I42" s="25">
        <f t="shared" si="0"/>
        <v>4344383</v>
      </c>
      <c r="K42" s="5"/>
      <c r="L42" s="11">
        <f t="shared" si="1"/>
        <v>0</v>
      </c>
    </row>
    <row r="43" spans="1:12">
      <c r="A43" s="85"/>
      <c r="B43" s="59"/>
      <c r="C43" s="75"/>
      <c r="D43" s="76"/>
      <c r="E43" s="79"/>
      <c r="F43" s="75"/>
      <c r="G43" s="27">
        <v>282504</v>
      </c>
      <c r="H43" s="26">
        <v>8.8699999999999992</v>
      </c>
      <c r="I43" s="25">
        <f t="shared" si="0"/>
        <v>2505810</v>
      </c>
      <c r="K43" s="5">
        <v>294096</v>
      </c>
      <c r="L43" s="11">
        <f t="shared" si="1"/>
        <v>302918</v>
      </c>
    </row>
    <row r="44" spans="1:12">
      <c r="A44" s="59" t="s">
        <v>48</v>
      </c>
      <c r="B44" s="59"/>
      <c r="C44" s="32"/>
      <c r="D44" s="32"/>
      <c r="E44" s="23"/>
      <c r="F44" s="23">
        <f>SUM(F8:F43)</f>
        <v>29710152</v>
      </c>
      <c r="G44" s="27">
        <f>SUM(G8:G43)</f>
        <v>7848365</v>
      </c>
      <c r="H44" s="24"/>
      <c r="I44" s="25">
        <f>SUM(I8:I43)</f>
        <v>88981471</v>
      </c>
      <c r="K44" s="5">
        <v>235896</v>
      </c>
      <c r="L44" s="11">
        <f t="shared" si="1"/>
        <v>242972</v>
      </c>
    </row>
    <row r="45" spans="1:12" ht="20.100000000000001" customHeight="1">
      <c r="A45" s="2"/>
      <c r="B45" s="2"/>
      <c r="C45" s="2"/>
      <c r="D45" s="2"/>
      <c r="E45" s="2"/>
      <c r="F45" s="2"/>
      <c r="G45" s="2"/>
      <c r="H45" s="33" t="s">
        <v>49</v>
      </c>
      <c r="I45" s="35">
        <f>F44+I44</f>
        <v>118691623</v>
      </c>
      <c r="K45" s="5">
        <f>SUM(K9:K44)</f>
        <v>6619080</v>
      </c>
      <c r="L45" s="11">
        <f>SUM(L9:L44)</f>
        <v>6817638</v>
      </c>
    </row>
    <row r="46" spans="1:12" ht="13.5" customHeight="1">
      <c r="A46" s="2"/>
      <c r="B46" s="2"/>
      <c r="C46" s="2"/>
      <c r="D46" s="2"/>
      <c r="E46" s="2"/>
      <c r="F46" s="2"/>
      <c r="G46" s="2"/>
      <c r="H46" s="2"/>
      <c r="I46" s="2"/>
      <c r="K46" s="34"/>
      <c r="L46" s="11"/>
    </row>
    <row r="47" spans="1:12" ht="17.25" customHeight="1">
      <c r="A47" s="2"/>
      <c r="B47" s="2"/>
      <c r="C47" t="s">
        <v>47</v>
      </c>
      <c r="D47" s="2"/>
      <c r="E47" s="2"/>
      <c r="F47" s="2"/>
      <c r="G47" s="2"/>
      <c r="H47" s="2"/>
      <c r="I47" s="2"/>
    </row>
    <row r="48" spans="1:12" s="12" customFormat="1" ht="17.25" customHeight="1">
      <c r="A48" s="11"/>
      <c r="B48" s="11"/>
      <c r="D48" s="11"/>
      <c r="E48" s="11"/>
      <c r="F48" s="11"/>
      <c r="G48" s="11"/>
      <c r="H48" s="11"/>
      <c r="I48" s="11"/>
    </row>
    <row r="49" spans="1:9" s="12" customFormat="1" ht="17.25" customHeight="1">
      <c r="A49" s="11"/>
      <c r="B49" s="11"/>
      <c r="D49" s="11"/>
      <c r="E49" s="11"/>
      <c r="F49" s="11"/>
      <c r="G49" s="11"/>
      <c r="H49" s="11"/>
      <c r="I49" s="11"/>
    </row>
    <row r="50" spans="1:9" ht="17.25" customHeight="1">
      <c r="A50" s="2"/>
      <c r="B50" s="2"/>
      <c r="D50" s="2"/>
      <c r="E50" s="2"/>
      <c r="F50" s="2"/>
      <c r="G50" s="2"/>
      <c r="H50" s="2"/>
      <c r="I50" s="2"/>
    </row>
    <row r="51" spans="1:9">
      <c r="A51" s="2"/>
      <c r="B51" s="2"/>
      <c r="D51" s="2"/>
      <c r="E51" s="2"/>
      <c r="F51" s="2"/>
      <c r="G51" s="2"/>
      <c r="H51" s="2"/>
      <c r="I51" s="2"/>
    </row>
    <row r="52" spans="1:9">
      <c r="A52" s="2"/>
      <c r="B52" s="2"/>
      <c r="C52" s="12"/>
      <c r="D52" s="2"/>
      <c r="E52" s="2"/>
      <c r="F52" s="2"/>
      <c r="G52" s="2"/>
      <c r="H52" s="2"/>
      <c r="I52" s="2"/>
    </row>
    <row r="53" spans="1:9">
      <c r="A53" s="2"/>
      <c r="B53" s="2"/>
      <c r="C53" s="12"/>
      <c r="D53" s="2"/>
      <c r="E53" s="2"/>
      <c r="F53" s="2"/>
      <c r="G53" s="2"/>
      <c r="H53" s="2"/>
      <c r="I53" s="2"/>
    </row>
    <row r="54" spans="1:9">
      <c r="A54" s="2"/>
      <c r="B54" s="2"/>
      <c r="D54" s="2"/>
      <c r="E54" s="2"/>
      <c r="F54" s="2"/>
      <c r="G54" s="2"/>
      <c r="H54" s="2"/>
      <c r="I54" s="2"/>
    </row>
  </sheetData>
  <mergeCells count="74">
    <mergeCell ref="F41:F43"/>
    <mergeCell ref="A35:A43"/>
    <mergeCell ref="A44:B44"/>
    <mergeCell ref="B41:B43"/>
    <mergeCell ref="C41:C43"/>
    <mergeCell ref="D41:D43"/>
    <mergeCell ref="E41:E43"/>
    <mergeCell ref="B35:B37"/>
    <mergeCell ref="C35:C37"/>
    <mergeCell ref="D35:D37"/>
    <mergeCell ref="E35:E37"/>
    <mergeCell ref="F35:F37"/>
    <mergeCell ref="B38:B40"/>
    <mergeCell ref="C38:C40"/>
    <mergeCell ref="D38:D40"/>
    <mergeCell ref="E38:E40"/>
    <mergeCell ref="F38:F40"/>
    <mergeCell ref="E32:E34"/>
    <mergeCell ref="F32:F34"/>
    <mergeCell ref="B29:B31"/>
    <mergeCell ref="C29:C31"/>
    <mergeCell ref="D29:D31"/>
    <mergeCell ref="E29:E31"/>
    <mergeCell ref="F29:F31"/>
    <mergeCell ref="F26:F28"/>
    <mergeCell ref="B23:B25"/>
    <mergeCell ref="C23:C25"/>
    <mergeCell ref="D23:D25"/>
    <mergeCell ref="E23:E25"/>
    <mergeCell ref="F23:F25"/>
    <mergeCell ref="F14:F16"/>
    <mergeCell ref="B20:B22"/>
    <mergeCell ref="C20:C22"/>
    <mergeCell ref="D20:D22"/>
    <mergeCell ref="E20:E22"/>
    <mergeCell ref="F20:F22"/>
    <mergeCell ref="B17:B19"/>
    <mergeCell ref="C17:C19"/>
    <mergeCell ref="D17:D19"/>
    <mergeCell ref="E17:E19"/>
    <mergeCell ref="F17:F19"/>
    <mergeCell ref="F8:F10"/>
    <mergeCell ref="B11:B13"/>
    <mergeCell ref="C11:C13"/>
    <mergeCell ref="D11:D13"/>
    <mergeCell ref="E11:E13"/>
    <mergeCell ref="F11:F13"/>
    <mergeCell ref="A8:A34"/>
    <mergeCell ref="B8:B10"/>
    <mergeCell ref="C8:C10"/>
    <mergeCell ref="D8:D10"/>
    <mergeCell ref="E8:E10"/>
    <mergeCell ref="B14:B16"/>
    <mergeCell ref="C14:C16"/>
    <mergeCell ref="D14:D16"/>
    <mergeCell ref="E14:E16"/>
    <mergeCell ref="B26:B28"/>
    <mergeCell ref="C26:C28"/>
    <mergeCell ref="D26:D28"/>
    <mergeCell ref="E26:E28"/>
    <mergeCell ref="B32:B34"/>
    <mergeCell ref="C32:C34"/>
    <mergeCell ref="D32:D34"/>
    <mergeCell ref="A3:B7"/>
    <mergeCell ref="C3:I3"/>
    <mergeCell ref="C4:F4"/>
    <mergeCell ref="G4:I4"/>
    <mergeCell ref="A1:I2"/>
    <mergeCell ref="C5:C6"/>
    <mergeCell ref="D5:D6"/>
    <mergeCell ref="E5:E6"/>
    <mergeCell ref="F5:F6"/>
    <mergeCell ref="H5:H6"/>
    <mergeCell ref="I5:I6"/>
  </mergeCells>
  <phoneticPr fontId="2"/>
  <printOptions horizontalCentered="1"/>
  <pageMargins left="0.51181102362204722" right="0.47244094488188981" top="0.82677165354330717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4"/>
  <sheetViews>
    <sheetView zoomScale="90" zoomScaleNormal="9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7" sqref="F17:F19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9" width="11.44140625" customWidth="1"/>
    <col min="10" max="10" width="11" bestFit="1" customWidth="1"/>
    <col min="11" max="11" width="14.44140625" customWidth="1"/>
    <col min="12" max="12" width="10.6640625" customWidth="1"/>
    <col min="13" max="13" width="14.44140625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34</v>
      </c>
      <c r="E5" s="62" t="s">
        <v>33</v>
      </c>
      <c r="F5" s="52" t="s">
        <v>27</v>
      </c>
      <c r="G5" s="1" t="s">
        <v>5</v>
      </c>
      <c r="H5" s="62" t="s">
        <v>52</v>
      </c>
      <c r="I5" s="62" t="s">
        <v>56</v>
      </c>
      <c r="J5" s="52" t="s">
        <v>53</v>
      </c>
      <c r="K5" s="52" t="s">
        <v>26</v>
      </c>
      <c r="L5" s="52" t="s">
        <v>4</v>
      </c>
      <c r="M5" s="64" t="s">
        <v>7</v>
      </c>
      <c r="N5" s="52" t="s">
        <v>28</v>
      </c>
      <c r="O5" s="4" t="s">
        <v>5</v>
      </c>
      <c r="P5" s="52" t="s">
        <v>6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52"/>
      <c r="K6" s="52"/>
      <c r="L6" s="52"/>
      <c r="M6" s="52"/>
      <c r="N6" s="52"/>
      <c r="O6" s="3" t="s">
        <v>9</v>
      </c>
      <c r="P6" s="52"/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1" t="s">
        <v>10</v>
      </c>
      <c r="K7" s="1" t="s">
        <v>10</v>
      </c>
      <c r="L7" s="1" t="s">
        <v>19</v>
      </c>
      <c r="M7" s="1" t="s">
        <v>10</v>
      </c>
      <c r="N7" s="1" t="s">
        <v>10</v>
      </c>
      <c r="O7" s="1" t="s">
        <v>20</v>
      </c>
      <c r="P7" s="1" t="s">
        <v>10</v>
      </c>
      <c r="Q7" s="1" t="s">
        <v>10</v>
      </c>
    </row>
    <row r="8" spans="1:17" ht="13.5" customHeight="1">
      <c r="A8" s="62" t="s">
        <v>50</v>
      </c>
      <c r="B8" s="52" t="s">
        <v>23</v>
      </c>
      <c r="C8" s="47">
        <v>1450</v>
      </c>
      <c r="D8" s="48">
        <v>678</v>
      </c>
      <c r="E8" s="49">
        <v>0.85</v>
      </c>
      <c r="F8" s="47">
        <f>C8*D8*E8</f>
        <v>835635</v>
      </c>
      <c r="G8" s="23"/>
      <c r="H8" s="5"/>
      <c r="I8" s="5"/>
      <c r="J8" s="19"/>
      <c r="K8" s="9">
        <f>ROUNDDOWN(G8*J8,0)</f>
        <v>0</v>
      </c>
      <c r="L8" s="47">
        <v>400</v>
      </c>
      <c r="M8" s="22">
        <v>1425.6</v>
      </c>
      <c r="N8" s="27">
        <v>0</v>
      </c>
      <c r="O8" s="27">
        <v>0</v>
      </c>
      <c r="P8" s="28">
        <v>12.78</v>
      </c>
      <c r="Q8" s="27">
        <f>O8*P8</f>
        <v>0</v>
      </c>
    </row>
    <row r="9" spans="1:17">
      <c r="A9" s="60"/>
      <c r="B9" s="52"/>
      <c r="C9" s="47"/>
      <c r="D9" s="48"/>
      <c r="E9" s="50"/>
      <c r="F9" s="47"/>
      <c r="G9" s="23">
        <v>272400</v>
      </c>
      <c r="H9" s="17">
        <v>12.25</v>
      </c>
      <c r="I9" s="36">
        <f>13.31/13.25</f>
        <v>1.0045283018867925</v>
      </c>
      <c r="J9" s="20">
        <f>H9*I9</f>
        <v>12.305471698113209</v>
      </c>
      <c r="K9" s="9">
        <f t="shared" ref="K9:K43" si="0">ROUNDDOWN(G9*J9,0)</f>
        <v>3352010</v>
      </c>
      <c r="L9" s="47"/>
      <c r="M9" s="22">
        <v>427.68</v>
      </c>
      <c r="N9" s="23">
        <f>ROUNDDOWN(L8*M9*1,0)</f>
        <v>171072</v>
      </c>
      <c r="O9" s="27">
        <v>0</v>
      </c>
      <c r="P9" s="28">
        <v>15.3</v>
      </c>
      <c r="Q9" s="27">
        <f>O9*P9</f>
        <v>0</v>
      </c>
    </row>
    <row r="10" spans="1:17">
      <c r="A10" s="60"/>
      <c r="B10" s="52"/>
      <c r="C10" s="47"/>
      <c r="D10" s="48"/>
      <c r="E10" s="51"/>
      <c r="F10" s="47"/>
      <c r="G10" s="23">
        <v>260568</v>
      </c>
      <c r="H10" s="17">
        <v>9.81</v>
      </c>
      <c r="I10" s="36">
        <f>8.93/8.87</f>
        <v>1.0067643742953778</v>
      </c>
      <c r="J10" s="20">
        <f>H10*I10</f>
        <v>9.8763585118376565</v>
      </c>
      <c r="K10" s="9">
        <f t="shared" si="0"/>
        <v>2573462</v>
      </c>
      <c r="L10" s="47"/>
      <c r="M10" s="40"/>
      <c r="N10" s="30"/>
      <c r="O10" s="30"/>
      <c r="P10" s="29"/>
      <c r="Q10" s="30"/>
    </row>
    <row r="11" spans="1:17" ht="13.5" customHeight="1">
      <c r="A11" s="60"/>
      <c r="B11" s="52" t="s">
        <v>24</v>
      </c>
      <c r="C11" s="47">
        <v>1450</v>
      </c>
      <c r="D11" s="48">
        <v>678</v>
      </c>
      <c r="E11" s="49">
        <v>0.85</v>
      </c>
      <c r="F11" s="47">
        <f>C11*D11*E11</f>
        <v>835635</v>
      </c>
      <c r="G11" s="23"/>
      <c r="H11" s="5"/>
      <c r="I11" s="5"/>
      <c r="J11" s="19"/>
      <c r="K11" s="9">
        <f>ROUNDDOWN(G11*J11,0)</f>
        <v>0</v>
      </c>
      <c r="L11" s="47">
        <v>400</v>
      </c>
      <c r="M11" s="22">
        <v>1425.6</v>
      </c>
      <c r="N11" s="27">
        <f>L12*M11</f>
        <v>0</v>
      </c>
      <c r="O11" s="27">
        <v>0</v>
      </c>
      <c r="P11" s="28">
        <v>12.78</v>
      </c>
      <c r="Q11" s="27">
        <f>O11*P11</f>
        <v>0</v>
      </c>
    </row>
    <row r="12" spans="1:17">
      <c r="A12" s="60"/>
      <c r="B12" s="52"/>
      <c r="C12" s="47"/>
      <c r="D12" s="48"/>
      <c r="E12" s="50"/>
      <c r="F12" s="47"/>
      <c r="G12" s="23">
        <v>303336</v>
      </c>
      <c r="H12" s="17">
        <v>12.25</v>
      </c>
      <c r="I12" s="36">
        <f>13.31/13.25</f>
        <v>1.0045283018867925</v>
      </c>
      <c r="J12" s="20">
        <f t="shared" ref="J12:J13" si="1">H12*I12</f>
        <v>12.305471698113209</v>
      </c>
      <c r="K12" s="9">
        <f t="shared" si="0"/>
        <v>3732692</v>
      </c>
      <c r="L12" s="47"/>
      <c r="M12" s="22">
        <v>427.68</v>
      </c>
      <c r="N12" s="23">
        <f>ROUNDDOWN(L11*M12*1,0)</f>
        <v>171072</v>
      </c>
      <c r="O12" s="27">
        <v>0</v>
      </c>
      <c r="P12" s="28">
        <v>15.3</v>
      </c>
      <c r="Q12" s="27">
        <f>O12*P12</f>
        <v>0</v>
      </c>
    </row>
    <row r="13" spans="1:17">
      <c r="A13" s="60"/>
      <c r="B13" s="52"/>
      <c r="C13" s="47"/>
      <c r="D13" s="48"/>
      <c r="E13" s="51"/>
      <c r="F13" s="47"/>
      <c r="G13" s="23">
        <v>324336</v>
      </c>
      <c r="H13" s="17">
        <v>9.81</v>
      </c>
      <c r="I13" s="36">
        <f>8.93/8.87</f>
        <v>1.0067643742953778</v>
      </c>
      <c r="J13" s="20">
        <f t="shared" si="1"/>
        <v>9.8763585118376565</v>
      </c>
      <c r="K13" s="9">
        <f t="shared" si="0"/>
        <v>3203258</v>
      </c>
      <c r="L13" s="47"/>
      <c r="M13" s="40"/>
      <c r="N13" s="30"/>
      <c r="O13" s="30"/>
      <c r="P13" s="29"/>
      <c r="Q13" s="30"/>
    </row>
    <row r="14" spans="1:17" ht="13.5" customHeight="1">
      <c r="A14" s="60"/>
      <c r="B14" s="52" t="s">
        <v>25</v>
      </c>
      <c r="C14" s="47">
        <v>1450</v>
      </c>
      <c r="D14" s="48">
        <v>678</v>
      </c>
      <c r="E14" s="49">
        <v>0.85</v>
      </c>
      <c r="F14" s="47">
        <f>C14*D14*E14</f>
        <v>835635</v>
      </c>
      <c r="G14" s="23"/>
      <c r="H14" s="5"/>
      <c r="I14" s="5"/>
      <c r="J14" s="19"/>
      <c r="K14" s="9">
        <f>ROUNDDOWN(G14*J14,0)</f>
        <v>0</v>
      </c>
      <c r="L14" s="47">
        <v>400</v>
      </c>
      <c r="M14" s="22">
        <v>1425.6</v>
      </c>
      <c r="N14" s="27">
        <f t="shared" ref="N14" si="2">L15*M14</f>
        <v>0</v>
      </c>
      <c r="O14" s="27">
        <v>0</v>
      </c>
      <c r="P14" s="28">
        <v>12.78</v>
      </c>
      <c r="Q14" s="27">
        <f>O14*P14</f>
        <v>0</v>
      </c>
    </row>
    <row r="15" spans="1:17">
      <c r="A15" s="60"/>
      <c r="B15" s="52"/>
      <c r="C15" s="47"/>
      <c r="D15" s="48"/>
      <c r="E15" s="50"/>
      <c r="F15" s="47"/>
      <c r="G15" s="23">
        <v>388632</v>
      </c>
      <c r="H15" s="17">
        <v>12.25</v>
      </c>
      <c r="I15" s="36">
        <f>13.31/13.25</f>
        <v>1.0045283018867925</v>
      </c>
      <c r="J15" s="20">
        <f t="shared" ref="J15:J25" si="3">H15*I15</f>
        <v>12.305471698113209</v>
      </c>
      <c r="K15" s="9">
        <f t="shared" si="0"/>
        <v>4782300</v>
      </c>
      <c r="L15" s="47"/>
      <c r="M15" s="22">
        <v>427.68</v>
      </c>
      <c r="N15" s="23">
        <f>ROUNDDOWN(L14*M15*1,0)</f>
        <v>171072</v>
      </c>
      <c r="O15" s="27">
        <v>0</v>
      </c>
      <c r="P15" s="28">
        <v>15.3</v>
      </c>
      <c r="Q15" s="27">
        <f>O15*P15</f>
        <v>0</v>
      </c>
    </row>
    <row r="16" spans="1:17">
      <c r="A16" s="60"/>
      <c r="B16" s="52"/>
      <c r="C16" s="47"/>
      <c r="D16" s="48"/>
      <c r="E16" s="51"/>
      <c r="F16" s="47"/>
      <c r="G16" s="23">
        <v>281640</v>
      </c>
      <c r="H16" s="17">
        <v>9.81</v>
      </c>
      <c r="I16" s="36">
        <f>8.93/8.87</f>
        <v>1.0067643742953778</v>
      </c>
      <c r="J16" s="20">
        <f t="shared" si="3"/>
        <v>9.8763585118376565</v>
      </c>
      <c r="K16" s="9">
        <f t="shared" si="0"/>
        <v>2781577</v>
      </c>
      <c r="L16" s="47"/>
      <c r="M16" s="40"/>
      <c r="N16" s="30"/>
      <c r="O16" s="30"/>
      <c r="P16" s="29"/>
      <c r="Q16" s="30"/>
    </row>
    <row r="17" spans="1:17" ht="13.5" customHeight="1">
      <c r="A17" s="60"/>
      <c r="B17" s="52" t="s">
        <v>11</v>
      </c>
      <c r="C17" s="47">
        <v>1450</v>
      </c>
      <c r="D17" s="48">
        <v>678</v>
      </c>
      <c r="E17" s="49">
        <v>0.85</v>
      </c>
      <c r="F17" s="47">
        <f>C17*D17*E17</f>
        <v>835635</v>
      </c>
      <c r="G17" s="23">
        <v>84000</v>
      </c>
      <c r="H17" s="17">
        <v>13</v>
      </c>
      <c r="I17" s="36">
        <f>16.67/16.61</f>
        <v>1.0036122817579773</v>
      </c>
      <c r="J17" s="20">
        <f t="shared" si="3"/>
        <v>13.046959662853705</v>
      </c>
      <c r="K17" s="9">
        <f>ROUNDDOWN(G17*J17,0)</f>
        <v>1095944</v>
      </c>
      <c r="L17" s="47">
        <v>400</v>
      </c>
      <c r="M17" s="22">
        <v>1425.6</v>
      </c>
      <c r="N17" s="27">
        <f t="shared" ref="N17" si="4">L18*M17</f>
        <v>0</v>
      </c>
      <c r="O17" s="27">
        <v>0</v>
      </c>
      <c r="P17" s="28">
        <v>13.79</v>
      </c>
      <c r="Q17" s="27">
        <f>O17*P17</f>
        <v>0</v>
      </c>
    </row>
    <row r="18" spans="1:17">
      <c r="A18" s="60"/>
      <c r="B18" s="52"/>
      <c r="C18" s="47"/>
      <c r="D18" s="48"/>
      <c r="E18" s="50"/>
      <c r="F18" s="47"/>
      <c r="G18" s="23">
        <v>295968</v>
      </c>
      <c r="H18" s="17">
        <v>13</v>
      </c>
      <c r="I18" s="36">
        <f>14.25/14.19</f>
        <v>1.0042283298097252</v>
      </c>
      <c r="J18" s="20">
        <f t="shared" si="3"/>
        <v>13.054968287526428</v>
      </c>
      <c r="K18" s="9">
        <f t="shared" si="0"/>
        <v>3863852</v>
      </c>
      <c r="L18" s="47"/>
      <c r="M18" s="22">
        <v>427.68</v>
      </c>
      <c r="N18" s="23">
        <f>ROUNDDOWN(L17*M18*1,0)</f>
        <v>171072</v>
      </c>
      <c r="O18" s="27">
        <v>0</v>
      </c>
      <c r="P18" s="28">
        <v>16.57</v>
      </c>
      <c r="Q18" s="27">
        <f>O18*P18</f>
        <v>0</v>
      </c>
    </row>
    <row r="19" spans="1:17">
      <c r="A19" s="60"/>
      <c r="B19" s="52"/>
      <c r="C19" s="47"/>
      <c r="D19" s="48"/>
      <c r="E19" s="51"/>
      <c r="F19" s="47"/>
      <c r="G19" s="23">
        <v>373200</v>
      </c>
      <c r="H19" s="17">
        <v>9.81</v>
      </c>
      <c r="I19" s="36">
        <f>8.93/8.87</f>
        <v>1.0067643742953778</v>
      </c>
      <c r="J19" s="20">
        <f t="shared" si="3"/>
        <v>9.8763585118376565</v>
      </c>
      <c r="K19" s="9">
        <f t="shared" si="0"/>
        <v>3685856</v>
      </c>
      <c r="L19" s="47"/>
      <c r="M19" s="40"/>
      <c r="N19" s="30"/>
      <c r="O19" s="30"/>
      <c r="P19" s="29"/>
      <c r="Q19" s="30"/>
    </row>
    <row r="20" spans="1:17" ht="13.5" customHeight="1">
      <c r="A20" s="60"/>
      <c r="B20" s="52" t="s">
        <v>12</v>
      </c>
      <c r="C20" s="47">
        <v>1450</v>
      </c>
      <c r="D20" s="48">
        <v>678</v>
      </c>
      <c r="E20" s="49">
        <v>0.85</v>
      </c>
      <c r="F20" s="47">
        <f>C20*D20*E20</f>
        <v>835635</v>
      </c>
      <c r="G20" s="23">
        <v>89640</v>
      </c>
      <c r="H20" s="17">
        <v>13</v>
      </c>
      <c r="I20" s="36">
        <f>16.67/16.61</f>
        <v>1.0036122817579773</v>
      </c>
      <c r="J20" s="20">
        <f t="shared" si="3"/>
        <v>13.046959662853705</v>
      </c>
      <c r="K20" s="9">
        <f>ROUNDDOWN(G20*J20,0)</f>
        <v>1169529</v>
      </c>
      <c r="L20" s="47">
        <v>400</v>
      </c>
      <c r="M20" s="22">
        <v>1425.6</v>
      </c>
      <c r="N20" s="27">
        <f t="shared" ref="N20" si="5">L21*M20</f>
        <v>0</v>
      </c>
      <c r="O20" s="27">
        <v>0</v>
      </c>
      <c r="P20" s="28">
        <v>13.79</v>
      </c>
      <c r="Q20" s="27">
        <f>O20*P20</f>
        <v>0</v>
      </c>
    </row>
    <row r="21" spans="1:17">
      <c r="A21" s="60"/>
      <c r="B21" s="52"/>
      <c r="C21" s="47"/>
      <c r="D21" s="48"/>
      <c r="E21" s="50"/>
      <c r="F21" s="47"/>
      <c r="G21" s="23">
        <v>312192</v>
      </c>
      <c r="H21" s="17">
        <v>13</v>
      </c>
      <c r="I21" s="36">
        <f>14.25/14.19</f>
        <v>1.0042283298097252</v>
      </c>
      <c r="J21" s="20">
        <f t="shared" si="3"/>
        <v>13.054968287526428</v>
      </c>
      <c r="K21" s="9">
        <f t="shared" si="0"/>
        <v>4075656</v>
      </c>
      <c r="L21" s="47"/>
      <c r="M21" s="22">
        <v>427.68</v>
      </c>
      <c r="N21" s="23">
        <f>ROUNDDOWN(L20*M21*1,0)</f>
        <v>171072</v>
      </c>
      <c r="O21" s="27">
        <v>0</v>
      </c>
      <c r="P21" s="28">
        <v>16.57</v>
      </c>
      <c r="Q21" s="27">
        <f>O21*P21</f>
        <v>0</v>
      </c>
    </row>
    <row r="22" spans="1:17">
      <c r="A22" s="60"/>
      <c r="B22" s="52"/>
      <c r="C22" s="47"/>
      <c r="D22" s="48"/>
      <c r="E22" s="51"/>
      <c r="F22" s="47"/>
      <c r="G22" s="23">
        <v>373392</v>
      </c>
      <c r="H22" s="17">
        <v>9.81</v>
      </c>
      <c r="I22" s="36">
        <f>8.93/8.87</f>
        <v>1.0067643742953778</v>
      </c>
      <c r="J22" s="20">
        <f t="shared" si="3"/>
        <v>9.8763585118376565</v>
      </c>
      <c r="K22" s="9">
        <f t="shared" si="0"/>
        <v>3687753</v>
      </c>
      <c r="L22" s="47"/>
      <c r="M22" s="40"/>
      <c r="N22" s="30"/>
      <c r="O22" s="30"/>
      <c r="P22" s="29"/>
      <c r="Q22" s="30"/>
    </row>
    <row r="23" spans="1:17" ht="13.5" customHeight="1">
      <c r="A23" s="60"/>
      <c r="B23" s="52" t="s">
        <v>13</v>
      </c>
      <c r="C23" s="47">
        <v>1450</v>
      </c>
      <c r="D23" s="48">
        <v>678</v>
      </c>
      <c r="E23" s="49">
        <v>0.85</v>
      </c>
      <c r="F23" s="47">
        <f>C23*D23*E23</f>
        <v>835635</v>
      </c>
      <c r="G23" s="23">
        <v>72768</v>
      </c>
      <c r="H23" s="17">
        <v>13</v>
      </c>
      <c r="I23" s="36">
        <f>16.67/16.61</f>
        <v>1.0036122817579773</v>
      </c>
      <c r="J23" s="20">
        <f t="shared" si="3"/>
        <v>13.046959662853705</v>
      </c>
      <c r="K23" s="9">
        <f>ROUNDDOWN(G23*J23,0)</f>
        <v>949401</v>
      </c>
      <c r="L23" s="47">
        <v>400</v>
      </c>
      <c r="M23" s="22">
        <v>1425.6</v>
      </c>
      <c r="N23" s="27">
        <f t="shared" ref="N23" si="6">L24*M23</f>
        <v>0</v>
      </c>
      <c r="O23" s="27">
        <v>0</v>
      </c>
      <c r="P23" s="28">
        <v>13.79</v>
      </c>
      <c r="Q23" s="27">
        <f>O23*P23</f>
        <v>0</v>
      </c>
    </row>
    <row r="24" spans="1:17">
      <c r="A24" s="60"/>
      <c r="B24" s="52"/>
      <c r="C24" s="47"/>
      <c r="D24" s="48"/>
      <c r="E24" s="50"/>
      <c r="F24" s="47"/>
      <c r="G24" s="23">
        <v>254760</v>
      </c>
      <c r="H24" s="17">
        <v>13</v>
      </c>
      <c r="I24" s="36">
        <f>14.25/14.19</f>
        <v>1.0042283298097252</v>
      </c>
      <c r="J24" s="20">
        <f t="shared" si="3"/>
        <v>13.054968287526428</v>
      </c>
      <c r="K24" s="9">
        <f t="shared" si="0"/>
        <v>3325883</v>
      </c>
      <c r="L24" s="47"/>
      <c r="M24" s="22">
        <v>427.68</v>
      </c>
      <c r="N24" s="23">
        <f>ROUNDDOWN(L23*M24*1,0)</f>
        <v>171072</v>
      </c>
      <c r="O24" s="27">
        <v>0</v>
      </c>
      <c r="P24" s="28">
        <v>16.57</v>
      </c>
      <c r="Q24" s="27">
        <f>O24*P24</f>
        <v>0</v>
      </c>
    </row>
    <row r="25" spans="1:17">
      <c r="A25" s="60"/>
      <c r="B25" s="52"/>
      <c r="C25" s="47"/>
      <c r="D25" s="48"/>
      <c r="E25" s="51"/>
      <c r="F25" s="47"/>
      <c r="G25" s="31">
        <v>355872</v>
      </c>
      <c r="H25" s="17">
        <v>9.81</v>
      </c>
      <c r="I25" s="36">
        <f>8.93/8.87</f>
        <v>1.0067643742953778</v>
      </c>
      <c r="J25" s="20">
        <f t="shared" si="3"/>
        <v>9.8763585118376565</v>
      </c>
      <c r="K25" s="9">
        <f t="shared" si="0"/>
        <v>3514719</v>
      </c>
      <c r="L25" s="47"/>
      <c r="M25" s="40"/>
      <c r="N25" s="30"/>
      <c r="O25" s="30"/>
      <c r="P25" s="29"/>
      <c r="Q25" s="30"/>
    </row>
    <row r="26" spans="1:17" ht="13.5" customHeight="1">
      <c r="A26" s="60"/>
      <c r="B26" s="52" t="s">
        <v>14</v>
      </c>
      <c r="C26" s="47">
        <v>1450</v>
      </c>
      <c r="D26" s="48">
        <v>678</v>
      </c>
      <c r="E26" s="49">
        <v>0.85</v>
      </c>
      <c r="F26" s="47">
        <f>C26*D26*E26</f>
        <v>835635</v>
      </c>
      <c r="G26" s="23"/>
      <c r="H26" s="5"/>
      <c r="I26" s="5"/>
      <c r="J26" s="19"/>
      <c r="K26" s="9">
        <f>ROUNDDOWN(G26*J26,0)</f>
        <v>0</v>
      </c>
      <c r="L26" s="47">
        <v>400</v>
      </c>
      <c r="M26" s="22">
        <v>1425.6</v>
      </c>
      <c r="N26" s="27">
        <f t="shared" ref="N26" si="7">L27*M26</f>
        <v>0</v>
      </c>
      <c r="O26" s="27">
        <v>0</v>
      </c>
      <c r="P26" s="28">
        <v>12.78</v>
      </c>
      <c r="Q26" s="27">
        <f>O26*P26</f>
        <v>0</v>
      </c>
    </row>
    <row r="27" spans="1:17">
      <c r="A27" s="60"/>
      <c r="B27" s="52"/>
      <c r="C27" s="47"/>
      <c r="D27" s="48"/>
      <c r="E27" s="50"/>
      <c r="F27" s="47"/>
      <c r="G27" s="23">
        <v>339648</v>
      </c>
      <c r="H27" s="17">
        <v>12.25</v>
      </c>
      <c r="I27" s="36">
        <f>13.31/13.25</f>
        <v>1.0045283018867925</v>
      </c>
      <c r="J27" s="20">
        <f t="shared" ref="J27:J28" si="8">H27*I27</f>
        <v>12.305471698113209</v>
      </c>
      <c r="K27" s="9">
        <f t="shared" si="0"/>
        <v>4179528</v>
      </c>
      <c r="L27" s="47"/>
      <c r="M27" s="22">
        <v>427.68</v>
      </c>
      <c r="N27" s="23">
        <f>ROUNDDOWN(L26*M27*1,0)</f>
        <v>171072</v>
      </c>
      <c r="O27" s="27">
        <v>0</v>
      </c>
      <c r="P27" s="28">
        <v>15.3</v>
      </c>
      <c r="Q27" s="27">
        <f>O27*P27</f>
        <v>0</v>
      </c>
    </row>
    <row r="28" spans="1:17">
      <c r="A28" s="60"/>
      <c r="B28" s="52"/>
      <c r="C28" s="47"/>
      <c r="D28" s="48"/>
      <c r="E28" s="51"/>
      <c r="F28" s="47"/>
      <c r="G28" s="23">
        <v>279168</v>
      </c>
      <c r="H28" s="17">
        <v>9.81</v>
      </c>
      <c r="I28" s="36">
        <f>8.93/8.87</f>
        <v>1.0067643742953778</v>
      </c>
      <c r="J28" s="20">
        <f t="shared" si="8"/>
        <v>9.8763585118376565</v>
      </c>
      <c r="K28" s="9">
        <f t="shared" si="0"/>
        <v>2757163</v>
      </c>
      <c r="L28" s="47"/>
      <c r="M28" s="40"/>
      <c r="N28" s="30"/>
      <c r="O28" s="30"/>
      <c r="P28" s="29"/>
      <c r="Q28" s="30"/>
    </row>
    <row r="29" spans="1:17" ht="13.5" customHeight="1">
      <c r="A29" s="60"/>
      <c r="B29" s="52" t="s">
        <v>15</v>
      </c>
      <c r="C29" s="47">
        <v>1450</v>
      </c>
      <c r="D29" s="48">
        <v>678</v>
      </c>
      <c r="E29" s="49">
        <v>0.85</v>
      </c>
      <c r="F29" s="47">
        <f>C29*D29*E29</f>
        <v>835635</v>
      </c>
      <c r="G29" s="23"/>
      <c r="H29" s="5"/>
      <c r="I29" s="5"/>
      <c r="J29" s="19"/>
      <c r="K29" s="9">
        <f>ROUNDDOWN(G29*J29,0)</f>
        <v>0</v>
      </c>
      <c r="L29" s="47">
        <v>400</v>
      </c>
      <c r="M29" s="22">
        <v>1425.6</v>
      </c>
      <c r="N29" s="27">
        <f t="shared" ref="N29" si="9">L30*M29</f>
        <v>0</v>
      </c>
      <c r="O29" s="27">
        <v>0</v>
      </c>
      <c r="P29" s="28">
        <v>12.78</v>
      </c>
      <c r="Q29" s="27">
        <f>O29*P29</f>
        <v>0</v>
      </c>
    </row>
    <row r="30" spans="1:17">
      <c r="A30" s="60"/>
      <c r="B30" s="52"/>
      <c r="C30" s="47"/>
      <c r="D30" s="48"/>
      <c r="E30" s="50"/>
      <c r="F30" s="47"/>
      <c r="G30" s="23">
        <v>291432</v>
      </c>
      <c r="H30" s="17">
        <v>12.25</v>
      </c>
      <c r="I30" s="36">
        <f>13.31/13.25</f>
        <v>1.0045283018867925</v>
      </c>
      <c r="J30" s="20">
        <f t="shared" ref="J30:J31" si="10">H30*I30</f>
        <v>12.305471698113209</v>
      </c>
      <c r="K30" s="9">
        <f t="shared" si="0"/>
        <v>3586208</v>
      </c>
      <c r="L30" s="47"/>
      <c r="M30" s="22">
        <v>427.68</v>
      </c>
      <c r="N30" s="23">
        <f>ROUNDDOWN(L29*M30*1,0)</f>
        <v>171072</v>
      </c>
      <c r="O30" s="27">
        <v>0</v>
      </c>
      <c r="P30" s="28">
        <v>15.3</v>
      </c>
      <c r="Q30" s="27">
        <f>O30*P30</f>
        <v>0</v>
      </c>
    </row>
    <row r="31" spans="1:17">
      <c r="A31" s="60"/>
      <c r="B31" s="52"/>
      <c r="C31" s="47"/>
      <c r="D31" s="48"/>
      <c r="E31" s="51"/>
      <c r="F31" s="47"/>
      <c r="G31" s="23">
        <v>273360</v>
      </c>
      <c r="H31" s="17">
        <v>9.81</v>
      </c>
      <c r="I31" s="36">
        <f>8.93/8.87</f>
        <v>1.0067643742953778</v>
      </c>
      <c r="J31" s="20">
        <f t="shared" si="10"/>
        <v>9.8763585118376565</v>
      </c>
      <c r="K31" s="9">
        <f t="shared" si="0"/>
        <v>2699801</v>
      </c>
      <c r="L31" s="47"/>
      <c r="M31" s="40"/>
      <c r="N31" s="30"/>
      <c r="O31" s="30"/>
      <c r="P31" s="29"/>
      <c r="Q31" s="30"/>
    </row>
    <row r="32" spans="1:17" ht="13.5" customHeight="1">
      <c r="A32" s="60"/>
      <c r="B32" s="59" t="s">
        <v>16</v>
      </c>
      <c r="C32" s="47">
        <v>1450</v>
      </c>
      <c r="D32" s="48">
        <v>678</v>
      </c>
      <c r="E32" s="49">
        <v>0.85</v>
      </c>
      <c r="F32" s="47">
        <f>C32*D32*E32</f>
        <v>835635</v>
      </c>
      <c r="G32" s="23"/>
      <c r="H32" s="5"/>
      <c r="I32" s="5"/>
      <c r="J32" s="19"/>
      <c r="K32" s="9">
        <f>ROUNDDOWN(G32*J32,0)</f>
        <v>0</v>
      </c>
      <c r="L32" s="47">
        <v>400</v>
      </c>
      <c r="M32" s="22">
        <v>1425.6</v>
      </c>
      <c r="N32" s="27">
        <f t="shared" ref="N32:N41" si="11">L33*M32</f>
        <v>0</v>
      </c>
      <c r="O32" s="27">
        <v>0</v>
      </c>
      <c r="P32" s="28">
        <v>12.78</v>
      </c>
      <c r="Q32" s="27">
        <f>O32*P32</f>
        <v>0</v>
      </c>
    </row>
    <row r="33" spans="1:17">
      <c r="A33" s="60"/>
      <c r="B33" s="59"/>
      <c r="C33" s="47"/>
      <c r="D33" s="48"/>
      <c r="E33" s="50"/>
      <c r="F33" s="47"/>
      <c r="G33" s="23">
        <v>326453</v>
      </c>
      <c r="H33" s="17">
        <v>12.25</v>
      </c>
      <c r="I33" s="36">
        <f>13.31/13.25</f>
        <v>1.0045283018867925</v>
      </c>
      <c r="J33" s="20">
        <f t="shared" ref="J33:J34" si="12">H33*I33</f>
        <v>12.305471698113209</v>
      </c>
      <c r="K33" s="9">
        <f t="shared" si="0"/>
        <v>4017158</v>
      </c>
      <c r="L33" s="47"/>
      <c r="M33" s="22">
        <v>427.68</v>
      </c>
      <c r="N33" s="23">
        <f t="shared" ref="N33" si="13">ROUNDDOWN(L32*M33*1,0)</f>
        <v>171072</v>
      </c>
      <c r="O33" s="27">
        <v>0</v>
      </c>
      <c r="P33" s="28">
        <v>15.3</v>
      </c>
      <c r="Q33" s="27">
        <f>O33*P33</f>
        <v>0</v>
      </c>
    </row>
    <row r="34" spans="1:17">
      <c r="A34" s="61"/>
      <c r="B34" s="59"/>
      <c r="C34" s="47"/>
      <c r="D34" s="48"/>
      <c r="E34" s="51"/>
      <c r="F34" s="47"/>
      <c r="G34" s="23">
        <v>326798</v>
      </c>
      <c r="H34" s="17">
        <v>9.81</v>
      </c>
      <c r="I34" s="36">
        <f>8.93/8.87</f>
        <v>1.0067643742953778</v>
      </c>
      <c r="J34" s="20">
        <f t="shared" si="12"/>
        <v>9.8763585118376565</v>
      </c>
      <c r="K34" s="9">
        <f t="shared" si="0"/>
        <v>3227574</v>
      </c>
      <c r="L34" s="47"/>
      <c r="M34" s="40"/>
      <c r="N34" s="30"/>
      <c r="O34" s="30"/>
      <c r="P34" s="29"/>
      <c r="Q34" s="30"/>
    </row>
    <row r="35" spans="1:17">
      <c r="A35" s="60" t="s">
        <v>51</v>
      </c>
      <c r="B35" s="59" t="s">
        <v>35</v>
      </c>
      <c r="C35" s="47">
        <v>1450</v>
      </c>
      <c r="D35" s="48">
        <v>678</v>
      </c>
      <c r="E35" s="49">
        <v>0.85</v>
      </c>
      <c r="F35" s="47">
        <f>C35*D35*E35</f>
        <v>835635</v>
      </c>
      <c r="G35" s="23"/>
      <c r="H35" s="5"/>
      <c r="I35" s="5"/>
      <c r="J35" s="19"/>
      <c r="K35" s="9">
        <f>ROUNDDOWN(G35*J35,0)</f>
        <v>0</v>
      </c>
      <c r="L35" s="47">
        <v>400</v>
      </c>
      <c r="M35" s="22">
        <v>1425.6</v>
      </c>
      <c r="N35" s="27">
        <f t="shared" si="11"/>
        <v>0</v>
      </c>
      <c r="O35" s="27">
        <v>0</v>
      </c>
      <c r="P35" s="28">
        <v>12.78</v>
      </c>
      <c r="Q35" s="27">
        <f>O35*P35</f>
        <v>0</v>
      </c>
    </row>
    <row r="36" spans="1:17">
      <c r="A36" s="60"/>
      <c r="B36" s="59"/>
      <c r="C36" s="47"/>
      <c r="D36" s="48"/>
      <c r="E36" s="50"/>
      <c r="F36" s="47"/>
      <c r="G36" s="23">
        <v>317300</v>
      </c>
      <c r="H36" s="17">
        <v>12.25</v>
      </c>
      <c r="I36" s="36">
        <f>13.31/13.25</f>
        <v>1.0045283018867925</v>
      </c>
      <c r="J36" s="20">
        <f t="shared" ref="J36:J37" si="14">H36*I36</f>
        <v>12.305471698113209</v>
      </c>
      <c r="K36" s="9">
        <f t="shared" si="0"/>
        <v>3904526</v>
      </c>
      <c r="L36" s="47"/>
      <c r="M36" s="22">
        <v>427.68</v>
      </c>
      <c r="N36" s="23">
        <f t="shared" ref="N36" si="15">ROUNDDOWN(L35*M36*1,0)</f>
        <v>171072</v>
      </c>
      <c r="O36" s="27">
        <v>0</v>
      </c>
      <c r="P36" s="28">
        <v>15.3</v>
      </c>
      <c r="Q36" s="27">
        <f>O36*P36</f>
        <v>0</v>
      </c>
    </row>
    <row r="37" spans="1:17">
      <c r="A37" s="60"/>
      <c r="B37" s="59"/>
      <c r="C37" s="47"/>
      <c r="D37" s="48"/>
      <c r="E37" s="51"/>
      <c r="F37" s="47"/>
      <c r="G37" s="23">
        <v>353726</v>
      </c>
      <c r="H37" s="17">
        <v>9.81</v>
      </c>
      <c r="I37" s="36">
        <f>8.93/8.87</f>
        <v>1.0067643742953778</v>
      </c>
      <c r="J37" s="20">
        <f t="shared" si="14"/>
        <v>9.8763585118376565</v>
      </c>
      <c r="K37" s="9">
        <f t="shared" si="0"/>
        <v>3493524</v>
      </c>
      <c r="L37" s="47"/>
      <c r="M37" s="40"/>
      <c r="N37" s="30"/>
      <c r="O37" s="30"/>
      <c r="P37" s="29"/>
      <c r="Q37" s="30"/>
    </row>
    <row r="38" spans="1:17">
      <c r="A38" s="60"/>
      <c r="B38" s="59" t="s">
        <v>36</v>
      </c>
      <c r="C38" s="47">
        <v>1450</v>
      </c>
      <c r="D38" s="48">
        <v>678</v>
      </c>
      <c r="E38" s="49">
        <v>0.85</v>
      </c>
      <c r="F38" s="47">
        <f>C38*D38*E38</f>
        <v>835635</v>
      </c>
      <c r="G38" s="23"/>
      <c r="H38" s="5"/>
      <c r="I38" s="5"/>
      <c r="J38" s="19"/>
      <c r="K38" s="9">
        <f>ROUNDDOWN(G38*J38,0)</f>
        <v>0</v>
      </c>
      <c r="L38" s="47">
        <v>400</v>
      </c>
      <c r="M38" s="22">
        <v>1425.6</v>
      </c>
      <c r="N38" s="27">
        <f t="shared" si="11"/>
        <v>0</v>
      </c>
      <c r="O38" s="5">
        <v>0</v>
      </c>
      <c r="P38" s="17">
        <v>12.78</v>
      </c>
      <c r="Q38" s="5">
        <f>O38*P38</f>
        <v>0</v>
      </c>
    </row>
    <row r="39" spans="1:17">
      <c r="A39" s="60"/>
      <c r="B39" s="59"/>
      <c r="C39" s="47"/>
      <c r="D39" s="48"/>
      <c r="E39" s="50"/>
      <c r="F39" s="47"/>
      <c r="G39" s="23">
        <v>318334</v>
      </c>
      <c r="H39" s="17">
        <v>12.25</v>
      </c>
      <c r="I39" s="36">
        <f>13.31/13.25</f>
        <v>1.0045283018867925</v>
      </c>
      <c r="J39" s="20">
        <f t="shared" ref="J39:J40" si="16">H39*I39</f>
        <v>12.305471698113209</v>
      </c>
      <c r="K39" s="9">
        <f t="shared" si="0"/>
        <v>3917250</v>
      </c>
      <c r="L39" s="47"/>
      <c r="M39" s="22">
        <v>427.68</v>
      </c>
      <c r="N39" s="23">
        <f t="shared" ref="N39" si="17">ROUNDDOWN(L38*M39*1,0)</f>
        <v>171072</v>
      </c>
      <c r="O39" s="5">
        <v>0</v>
      </c>
      <c r="P39" s="17">
        <v>15.3</v>
      </c>
      <c r="Q39" s="5">
        <f>O39*P39</f>
        <v>0</v>
      </c>
    </row>
    <row r="40" spans="1:17">
      <c r="A40" s="60"/>
      <c r="B40" s="59"/>
      <c r="C40" s="47"/>
      <c r="D40" s="48"/>
      <c r="E40" s="51"/>
      <c r="F40" s="47"/>
      <c r="G40" s="23">
        <v>291014</v>
      </c>
      <c r="H40" s="17">
        <v>9.81</v>
      </c>
      <c r="I40" s="36">
        <f>8.93/8.87</f>
        <v>1.0067643742953778</v>
      </c>
      <c r="J40" s="20">
        <f t="shared" si="16"/>
        <v>9.8763585118376565</v>
      </c>
      <c r="K40" s="9">
        <f t="shared" si="0"/>
        <v>2874158</v>
      </c>
      <c r="L40" s="47"/>
      <c r="M40" s="40"/>
      <c r="N40" s="30"/>
      <c r="O40" s="6"/>
      <c r="P40" s="18"/>
      <c r="Q40" s="6"/>
    </row>
    <row r="41" spans="1:17">
      <c r="A41" s="60"/>
      <c r="B41" s="59" t="s">
        <v>37</v>
      </c>
      <c r="C41" s="47">
        <v>1450</v>
      </c>
      <c r="D41" s="48">
        <v>678</v>
      </c>
      <c r="E41" s="49">
        <v>0.85</v>
      </c>
      <c r="F41" s="47">
        <f>C41*D41*E41</f>
        <v>835635</v>
      </c>
      <c r="G41" s="23"/>
      <c r="H41" s="5"/>
      <c r="I41" s="5"/>
      <c r="J41" s="19"/>
      <c r="K41" s="9">
        <f>ROUNDDOWN(G41*J41,0)</f>
        <v>0</v>
      </c>
      <c r="L41" s="47">
        <v>400</v>
      </c>
      <c r="M41" s="22">
        <v>1425.6</v>
      </c>
      <c r="N41" s="27">
        <f t="shared" si="11"/>
        <v>0</v>
      </c>
      <c r="O41" s="5">
        <v>0</v>
      </c>
      <c r="P41" s="17">
        <v>12.78</v>
      </c>
      <c r="Q41" s="5">
        <f>O41*P41</f>
        <v>0</v>
      </c>
    </row>
    <row r="42" spans="1:17">
      <c r="A42" s="60"/>
      <c r="B42" s="59"/>
      <c r="C42" s="47"/>
      <c r="D42" s="48"/>
      <c r="E42" s="50"/>
      <c r="F42" s="47"/>
      <c r="G42" s="23">
        <v>327878</v>
      </c>
      <c r="H42" s="17">
        <v>12.25</v>
      </c>
      <c r="I42" s="36">
        <f>13.31/13.25</f>
        <v>1.0045283018867925</v>
      </c>
      <c r="J42" s="20">
        <f t="shared" ref="J42:J43" si="18">H42*I42</f>
        <v>12.305471698113209</v>
      </c>
      <c r="K42" s="9">
        <f t="shared" si="0"/>
        <v>4034693</v>
      </c>
      <c r="L42" s="47"/>
      <c r="M42" s="22">
        <v>427.68</v>
      </c>
      <c r="N42" s="23">
        <f t="shared" ref="N42" si="19">ROUNDDOWN(L41*M42*1,0)</f>
        <v>171072</v>
      </c>
      <c r="O42" s="5">
        <v>0</v>
      </c>
      <c r="P42" s="17">
        <v>15.3</v>
      </c>
      <c r="Q42" s="5">
        <f>O42*P42</f>
        <v>0</v>
      </c>
    </row>
    <row r="43" spans="1:17">
      <c r="A43" s="61"/>
      <c r="B43" s="59"/>
      <c r="C43" s="47"/>
      <c r="D43" s="48"/>
      <c r="E43" s="51"/>
      <c r="F43" s="47"/>
      <c r="G43" s="23">
        <v>282504</v>
      </c>
      <c r="H43" s="17">
        <v>9.81</v>
      </c>
      <c r="I43" s="36">
        <f>8.93/8.87</f>
        <v>1.0067643742953778</v>
      </c>
      <c r="J43" s="20">
        <f t="shared" si="18"/>
        <v>9.8763585118376565</v>
      </c>
      <c r="K43" s="9">
        <f t="shared" si="0"/>
        <v>2790110</v>
      </c>
      <c r="L43" s="47"/>
      <c r="M43" s="40"/>
      <c r="N43" s="30"/>
      <c r="O43" s="6"/>
      <c r="P43" s="18"/>
      <c r="Q43" s="6"/>
    </row>
    <row r="44" spans="1:17">
      <c r="A44" s="52" t="s">
        <v>48</v>
      </c>
      <c r="B44" s="52"/>
      <c r="C44" s="6"/>
      <c r="D44" s="6"/>
      <c r="E44" s="5"/>
      <c r="F44" s="5">
        <f>SUM(F8:F43)</f>
        <v>10027620</v>
      </c>
      <c r="G44" s="23">
        <f>SUM(G8:G43)</f>
        <v>7770319</v>
      </c>
      <c r="H44" s="5"/>
      <c r="I44" s="5"/>
      <c r="J44" s="19"/>
      <c r="K44" s="9">
        <f>SUM(K8:K43)</f>
        <v>87275585</v>
      </c>
      <c r="L44" s="6"/>
      <c r="M44" s="40"/>
      <c r="N44" s="27">
        <f>SUM(N8:N43)</f>
        <v>2052864</v>
      </c>
      <c r="O44" s="5">
        <f>SUM(O8:O43)</f>
        <v>0</v>
      </c>
      <c r="P44" s="18"/>
      <c r="Q44" s="5">
        <f>SUM(Q8:Q43)</f>
        <v>0</v>
      </c>
    </row>
    <row r="45" spans="1:17" ht="20.100000000000001" customHeight="1">
      <c r="A45" s="89" t="s">
        <v>55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86">
        <f>F44+K44+N44</f>
        <v>99356069</v>
      </c>
      <c r="Q45" s="87"/>
    </row>
    <row r="46" spans="1:17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88" t="s">
        <v>59</v>
      </c>
      <c r="O46" s="88"/>
      <c r="P46" s="86">
        <f>ROUNDUP(P45/1.08,0)</f>
        <v>91996361</v>
      </c>
      <c r="Q46" s="87"/>
    </row>
    <row r="47" spans="1:17" ht="17.25" customHeight="1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7" s="12" customFormat="1" ht="17.25" customHeight="1">
      <c r="A48" s="11"/>
      <c r="B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s="12" customFormat="1" ht="17.25" customHeight="1">
      <c r="A49" s="11"/>
      <c r="B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7.25" customHeight="1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</row>
  </sheetData>
  <mergeCells count="101">
    <mergeCell ref="E5:E6"/>
    <mergeCell ref="F5:F6"/>
    <mergeCell ref="J5:J6"/>
    <mergeCell ref="N46:O46"/>
    <mergeCell ref="P46:Q46"/>
    <mergeCell ref="K5:K6"/>
    <mergeCell ref="A8:A34"/>
    <mergeCell ref="B8:B10"/>
    <mergeCell ref="C8:C10"/>
    <mergeCell ref="D8:D10"/>
    <mergeCell ref="E8:E10"/>
    <mergeCell ref="F8:F10"/>
    <mergeCell ref="B11:B13"/>
    <mergeCell ref="C11:C13"/>
    <mergeCell ref="D11:D13"/>
    <mergeCell ref="A3:B7"/>
    <mergeCell ref="C3:K3"/>
    <mergeCell ref="C4:F4"/>
    <mergeCell ref="G4:K4"/>
    <mergeCell ref="C5:C6"/>
    <mergeCell ref="D5:D6"/>
    <mergeCell ref="E11:E13"/>
    <mergeCell ref="F11:F13"/>
    <mergeCell ref="B14:B16"/>
    <mergeCell ref="B23:B25"/>
    <mergeCell ref="C23:C25"/>
    <mergeCell ref="D23:D25"/>
    <mergeCell ref="E23:E25"/>
    <mergeCell ref="F23:F25"/>
    <mergeCell ref="C14:C16"/>
    <mergeCell ref="D14:D16"/>
    <mergeCell ref="E14:E16"/>
    <mergeCell ref="F14:F16"/>
    <mergeCell ref="B20:B22"/>
    <mergeCell ref="C20:C22"/>
    <mergeCell ref="D20:D22"/>
    <mergeCell ref="E20:E22"/>
    <mergeCell ref="F20:F22"/>
    <mergeCell ref="B17:B19"/>
    <mergeCell ref="C17:C19"/>
    <mergeCell ref="D17:D19"/>
    <mergeCell ref="E17:E19"/>
    <mergeCell ref="F17:F19"/>
    <mergeCell ref="A35:A43"/>
    <mergeCell ref="B35:B37"/>
    <mergeCell ref="C35:C37"/>
    <mergeCell ref="D35:D37"/>
    <mergeCell ref="E35:E37"/>
    <mergeCell ref="F35:F37"/>
    <mergeCell ref="B38:B40"/>
    <mergeCell ref="C38:C40"/>
    <mergeCell ref="D38:D40"/>
    <mergeCell ref="E38:E40"/>
    <mergeCell ref="N5:N6"/>
    <mergeCell ref="P5:P6"/>
    <mergeCell ref="F38:F40"/>
    <mergeCell ref="B41:B43"/>
    <mergeCell ref="C41:C43"/>
    <mergeCell ref="D41:D43"/>
    <mergeCell ref="E41:E43"/>
    <mergeCell ref="L41:L43"/>
    <mergeCell ref="F41:F43"/>
    <mergeCell ref="B32:B34"/>
    <mergeCell ref="C32:C34"/>
    <mergeCell ref="D32:D34"/>
    <mergeCell ref="E32:E34"/>
    <mergeCell ref="F32:F34"/>
    <mergeCell ref="B29:B31"/>
    <mergeCell ref="C29:C31"/>
    <mergeCell ref="D29:D31"/>
    <mergeCell ref="E29:E31"/>
    <mergeCell ref="F29:F31"/>
    <mergeCell ref="B26:B28"/>
    <mergeCell ref="C26:C28"/>
    <mergeCell ref="D26:D28"/>
    <mergeCell ref="E26:E28"/>
    <mergeCell ref="F26:F28"/>
    <mergeCell ref="P45:Q45"/>
    <mergeCell ref="N45:O45"/>
    <mergeCell ref="A1:Q2"/>
    <mergeCell ref="A45:L45"/>
    <mergeCell ref="L23:L25"/>
    <mergeCell ref="L26:L28"/>
    <mergeCell ref="L29:L31"/>
    <mergeCell ref="L32:L34"/>
    <mergeCell ref="L35:L37"/>
    <mergeCell ref="L38:L40"/>
    <mergeCell ref="Q5:Q6"/>
    <mergeCell ref="L8:L10"/>
    <mergeCell ref="L11:L13"/>
    <mergeCell ref="L14:L16"/>
    <mergeCell ref="L17:L19"/>
    <mergeCell ref="L20:L22"/>
    <mergeCell ref="A44:B44"/>
    <mergeCell ref="H5:H6"/>
    <mergeCell ref="I5:I6"/>
    <mergeCell ref="L3:Q3"/>
    <mergeCell ref="L4:N4"/>
    <mergeCell ref="O4:Q4"/>
    <mergeCell ref="L5:L6"/>
    <mergeCell ref="M5:M6"/>
  </mergeCells>
  <phoneticPr fontId="2"/>
  <printOptions horizontalCentered="1"/>
  <pageMargins left="0.51181102362204722" right="0.47244094488188981" top="0.82677165354330717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8"/>
  <sheetViews>
    <sheetView zoomScale="115" zoomScaleNormal="115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43" sqref="G43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2" t="s">
        <v>67</v>
      </c>
      <c r="K5" s="52" t="s">
        <v>26</v>
      </c>
      <c r="L5" s="52" t="s">
        <v>4</v>
      </c>
      <c r="M5" s="64" t="s">
        <v>68</v>
      </c>
      <c r="N5" s="52" t="s">
        <v>28</v>
      </c>
      <c r="O5" s="4" t="s">
        <v>5</v>
      </c>
      <c r="P5" s="42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3" t="s">
        <v>8</v>
      </c>
      <c r="K6" s="52"/>
      <c r="L6" s="52"/>
      <c r="M6" s="52"/>
      <c r="N6" s="52"/>
      <c r="O6" s="3" t="s">
        <v>9</v>
      </c>
      <c r="P6" s="3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1" t="s">
        <v>10</v>
      </c>
      <c r="K7" s="1" t="s">
        <v>10</v>
      </c>
      <c r="L7" s="1" t="s">
        <v>19</v>
      </c>
      <c r="M7" s="1" t="s">
        <v>10</v>
      </c>
      <c r="N7" s="1" t="s">
        <v>10</v>
      </c>
      <c r="O7" s="1" t="s">
        <v>20</v>
      </c>
      <c r="P7" s="1" t="s">
        <v>10</v>
      </c>
      <c r="Q7" s="1" t="s">
        <v>10</v>
      </c>
    </row>
    <row r="8" spans="1:17" ht="13.5" customHeight="1">
      <c r="A8" s="62" t="s">
        <v>60</v>
      </c>
      <c r="B8" s="52" t="s">
        <v>23</v>
      </c>
      <c r="C8" s="47">
        <v>1450</v>
      </c>
      <c r="D8" s="48">
        <v>1619.09</v>
      </c>
      <c r="E8" s="49">
        <v>0.85</v>
      </c>
      <c r="F8" s="47">
        <f>ROUNDDOWN(C8*D8*E8,0)</f>
        <v>1995528</v>
      </c>
      <c r="G8" s="23"/>
      <c r="H8" s="5"/>
      <c r="I8" s="5"/>
      <c r="J8" s="19"/>
      <c r="K8" s="9">
        <f>ROUNDDOWN(G8*J8,0)</f>
        <v>0</v>
      </c>
      <c r="L8" s="47">
        <v>400</v>
      </c>
      <c r="M8" s="17">
        <v>1425.6</v>
      </c>
      <c r="N8" s="5">
        <v>0</v>
      </c>
      <c r="O8" s="5">
        <v>0</v>
      </c>
      <c r="P8" s="17">
        <v>18.29</v>
      </c>
      <c r="Q8" s="27">
        <f>ROUNDDOWN(O8*P8,0)</f>
        <v>0</v>
      </c>
    </row>
    <row r="9" spans="1:17">
      <c r="A9" s="60"/>
      <c r="B9" s="52"/>
      <c r="C9" s="47"/>
      <c r="D9" s="48"/>
      <c r="E9" s="50"/>
      <c r="F9" s="47"/>
      <c r="G9" s="23">
        <v>279672</v>
      </c>
      <c r="H9" s="17">
        <v>12.25</v>
      </c>
      <c r="I9" s="36">
        <f>13.31/13.25</f>
        <v>1.0045283018867925</v>
      </c>
      <c r="J9" s="20">
        <f>ROUND(13.31*0.9,2)</f>
        <v>11.98</v>
      </c>
      <c r="K9" s="9">
        <f t="shared" ref="K9:K43" si="0">ROUNDDOWN(G9*J9,0)</f>
        <v>3350470</v>
      </c>
      <c r="L9" s="47"/>
      <c r="M9" s="17">
        <v>427.68</v>
      </c>
      <c r="N9" s="5">
        <f>ROUNDDOWN(L8*M9*1,0)</f>
        <v>171072</v>
      </c>
      <c r="O9" s="5">
        <v>0</v>
      </c>
      <c r="P9" s="17">
        <v>22.17</v>
      </c>
      <c r="Q9" s="27">
        <f>ROUNDDOWN(O9*P9,0)</f>
        <v>0</v>
      </c>
    </row>
    <row r="10" spans="1:17">
      <c r="A10" s="60"/>
      <c r="B10" s="52"/>
      <c r="C10" s="47"/>
      <c r="D10" s="48"/>
      <c r="E10" s="51"/>
      <c r="F10" s="47"/>
      <c r="G10" s="23">
        <v>270360</v>
      </c>
      <c r="H10" s="17">
        <v>9.81</v>
      </c>
      <c r="I10" s="36">
        <f>8.93/8.87</f>
        <v>1.0067643742953778</v>
      </c>
      <c r="J10" s="20">
        <f>ROUND(8.93*0.9,2)</f>
        <v>8.0399999999999991</v>
      </c>
      <c r="K10" s="9">
        <f t="shared" si="0"/>
        <v>2173694</v>
      </c>
      <c r="L10" s="47"/>
      <c r="M10" s="18"/>
      <c r="N10" s="6"/>
      <c r="O10" s="6"/>
      <c r="P10" s="18"/>
      <c r="Q10" s="30"/>
    </row>
    <row r="11" spans="1:17" ht="13.5" customHeight="1">
      <c r="A11" s="60"/>
      <c r="B11" s="52" t="s">
        <v>24</v>
      </c>
      <c r="C11" s="47">
        <v>1450</v>
      </c>
      <c r="D11" s="49">
        <v>1619.09</v>
      </c>
      <c r="E11" s="49">
        <v>0.85</v>
      </c>
      <c r="F11" s="47">
        <f t="shared" ref="F11" si="1">ROUNDDOWN(C11*D11*E11,0)</f>
        <v>1995528</v>
      </c>
      <c r="G11" s="23"/>
      <c r="H11" s="5"/>
      <c r="I11" s="5"/>
      <c r="J11" s="19"/>
      <c r="K11" s="9">
        <f>ROUNDDOWN(G11*J11,0)</f>
        <v>0</v>
      </c>
      <c r="L11" s="47">
        <v>400</v>
      </c>
      <c r="M11" s="17">
        <v>1425.6</v>
      </c>
      <c r="N11" s="5">
        <v>0</v>
      </c>
      <c r="O11" s="5">
        <v>0</v>
      </c>
      <c r="P11" s="17">
        <v>18.29</v>
      </c>
      <c r="Q11" s="27">
        <f>ROUNDDOWN(O11*P11,0)</f>
        <v>0</v>
      </c>
    </row>
    <row r="12" spans="1:17">
      <c r="A12" s="60"/>
      <c r="B12" s="52"/>
      <c r="C12" s="47"/>
      <c r="D12" s="50"/>
      <c r="E12" s="50"/>
      <c r="F12" s="47"/>
      <c r="G12" s="23">
        <v>288768</v>
      </c>
      <c r="H12" s="17">
        <v>12.25</v>
      </c>
      <c r="I12" s="36">
        <f>13.31/13.25</f>
        <v>1.0045283018867925</v>
      </c>
      <c r="J12" s="20">
        <v>11.98</v>
      </c>
      <c r="K12" s="9">
        <f t="shared" si="0"/>
        <v>3459440</v>
      </c>
      <c r="L12" s="47"/>
      <c r="M12" s="17">
        <v>427.68</v>
      </c>
      <c r="N12" s="5">
        <f>ROUNDDOWN(L11*M12*1,0)</f>
        <v>171072</v>
      </c>
      <c r="O12" s="5">
        <v>0</v>
      </c>
      <c r="P12" s="17">
        <v>22.17</v>
      </c>
      <c r="Q12" s="27">
        <f t="shared" ref="Q12:Q42" si="2">ROUNDDOWN(O12*P12,0)</f>
        <v>0</v>
      </c>
    </row>
    <row r="13" spans="1:17">
      <c r="A13" s="60"/>
      <c r="B13" s="52"/>
      <c r="C13" s="47"/>
      <c r="D13" s="51"/>
      <c r="E13" s="51"/>
      <c r="F13" s="47"/>
      <c r="G13" s="23">
        <v>316488</v>
      </c>
      <c r="H13" s="17">
        <v>9.81</v>
      </c>
      <c r="I13" s="36">
        <f>8.93/8.87</f>
        <v>1.0067643742953778</v>
      </c>
      <c r="J13" s="20">
        <v>8.0399999999999991</v>
      </c>
      <c r="K13" s="9">
        <f t="shared" si="0"/>
        <v>2544563</v>
      </c>
      <c r="L13" s="47"/>
      <c r="M13" s="18"/>
      <c r="N13" s="6"/>
      <c r="O13" s="6"/>
      <c r="P13" s="18"/>
      <c r="Q13" s="18"/>
    </row>
    <row r="14" spans="1:17" ht="13.5" customHeight="1">
      <c r="A14" s="60"/>
      <c r="B14" s="52" t="s">
        <v>25</v>
      </c>
      <c r="C14" s="47">
        <v>1450</v>
      </c>
      <c r="D14" s="49">
        <v>1619.09</v>
      </c>
      <c r="E14" s="49">
        <v>0.85</v>
      </c>
      <c r="F14" s="47">
        <f t="shared" ref="F14" si="3">ROUNDDOWN(C14*D14*E14,0)</f>
        <v>1995528</v>
      </c>
      <c r="G14" s="23"/>
      <c r="H14" s="5"/>
      <c r="I14" s="5"/>
      <c r="J14" s="19"/>
      <c r="K14" s="9">
        <f>ROUNDDOWN(G14*J14,0)</f>
        <v>0</v>
      </c>
      <c r="L14" s="47">
        <v>400</v>
      </c>
      <c r="M14" s="17">
        <v>1425.6</v>
      </c>
      <c r="N14" s="5">
        <v>0</v>
      </c>
      <c r="O14" s="5">
        <v>0</v>
      </c>
      <c r="P14" s="17">
        <v>18.29</v>
      </c>
      <c r="Q14" s="27">
        <f t="shared" si="2"/>
        <v>0</v>
      </c>
    </row>
    <row r="15" spans="1:17">
      <c r="A15" s="60"/>
      <c r="B15" s="52"/>
      <c r="C15" s="47"/>
      <c r="D15" s="50"/>
      <c r="E15" s="50"/>
      <c r="F15" s="47"/>
      <c r="G15" s="23">
        <v>372168</v>
      </c>
      <c r="H15" s="17">
        <v>12.25</v>
      </c>
      <c r="I15" s="36">
        <f>13.31/13.25</f>
        <v>1.0045283018867925</v>
      </c>
      <c r="J15" s="20">
        <v>11.98</v>
      </c>
      <c r="K15" s="9">
        <f t="shared" si="0"/>
        <v>4458572</v>
      </c>
      <c r="L15" s="47"/>
      <c r="M15" s="17">
        <v>427.68</v>
      </c>
      <c r="N15" s="5">
        <f>ROUNDDOWN(L14*M15*1,0)</f>
        <v>171072</v>
      </c>
      <c r="O15" s="5">
        <v>0</v>
      </c>
      <c r="P15" s="17">
        <v>22.17</v>
      </c>
      <c r="Q15" s="27">
        <f t="shared" si="2"/>
        <v>0</v>
      </c>
    </row>
    <row r="16" spans="1:17">
      <c r="A16" s="60"/>
      <c r="B16" s="52"/>
      <c r="C16" s="47"/>
      <c r="D16" s="51"/>
      <c r="E16" s="51"/>
      <c r="F16" s="47"/>
      <c r="G16" s="23">
        <v>291720</v>
      </c>
      <c r="H16" s="17">
        <v>9.81</v>
      </c>
      <c r="I16" s="36">
        <f>8.93/8.87</f>
        <v>1.0067643742953778</v>
      </c>
      <c r="J16" s="20">
        <v>8.0399999999999991</v>
      </c>
      <c r="K16" s="9">
        <f t="shared" si="0"/>
        <v>2345428</v>
      </c>
      <c r="L16" s="47"/>
      <c r="M16" s="18"/>
      <c r="N16" s="6"/>
      <c r="O16" s="6"/>
      <c r="P16" s="18"/>
      <c r="Q16" s="18"/>
    </row>
    <row r="17" spans="1:17" ht="13.5" customHeight="1">
      <c r="A17" s="60"/>
      <c r="B17" s="52" t="s">
        <v>11</v>
      </c>
      <c r="C17" s="47">
        <v>1450</v>
      </c>
      <c r="D17" s="49">
        <v>1619.09</v>
      </c>
      <c r="E17" s="49">
        <v>0.85</v>
      </c>
      <c r="F17" s="47">
        <f t="shared" ref="F17" si="4">ROUNDDOWN(C17*D17*E17,0)</f>
        <v>1995528</v>
      </c>
      <c r="G17" s="23">
        <v>87360</v>
      </c>
      <c r="H17" s="17">
        <v>13</v>
      </c>
      <c r="I17" s="36">
        <f>16.67/16.61</f>
        <v>1.0036122817579773</v>
      </c>
      <c r="J17" s="20">
        <f>ROUNDDOWN(16.67*0.9,2)</f>
        <v>15</v>
      </c>
      <c r="K17" s="9">
        <f>ROUNDDOWN(G17*J17,0)</f>
        <v>1310400</v>
      </c>
      <c r="L17" s="47">
        <v>400</v>
      </c>
      <c r="M17" s="17">
        <v>1425.6</v>
      </c>
      <c r="N17" s="5">
        <v>0</v>
      </c>
      <c r="O17" s="5">
        <v>0</v>
      </c>
      <c r="P17" s="17">
        <v>19.84</v>
      </c>
      <c r="Q17" s="27">
        <f t="shared" si="2"/>
        <v>0</v>
      </c>
    </row>
    <row r="18" spans="1:17">
      <c r="A18" s="60"/>
      <c r="B18" s="52"/>
      <c r="C18" s="47"/>
      <c r="D18" s="50"/>
      <c r="E18" s="50"/>
      <c r="F18" s="47"/>
      <c r="G18" s="23">
        <v>307056</v>
      </c>
      <c r="H18" s="17">
        <v>13</v>
      </c>
      <c r="I18" s="36">
        <f>14.25/14.19</f>
        <v>1.0042283298097252</v>
      </c>
      <c r="J18" s="20">
        <f>ROUND(14.25*0.9,2)</f>
        <v>12.83</v>
      </c>
      <c r="K18" s="9">
        <f t="shared" si="0"/>
        <v>3939528</v>
      </c>
      <c r="L18" s="47"/>
      <c r="M18" s="17">
        <v>427.68</v>
      </c>
      <c r="N18" s="5">
        <f>ROUNDDOWN(L17*M18*1,0)</f>
        <v>171072</v>
      </c>
      <c r="O18" s="5">
        <v>0</v>
      </c>
      <c r="P18" s="17">
        <v>24.12</v>
      </c>
      <c r="Q18" s="27">
        <f t="shared" si="2"/>
        <v>0</v>
      </c>
    </row>
    <row r="19" spans="1:17">
      <c r="A19" s="60"/>
      <c r="B19" s="52"/>
      <c r="C19" s="47"/>
      <c r="D19" s="51"/>
      <c r="E19" s="51"/>
      <c r="F19" s="47"/>
      <c r="G19" s="23">
        <v>341568</v>
      </c>
      <c r="H19" s="17">
        <v>9.81</v>
      </c>
      <c r="I19" s="36">
        <f>8.93/8.87</f>
        <v>1.0067643742953778</v>
      </c>
      <c r="J19" s="20">
        <f>ROUND(8.93*0.9,2)</f>
        <v>8.0399999999999991</v>
      </c>
      <c r="K19" s="9">
        <f t="shared" si="0"/>
        <v>2746206</v>
      </c>
      <c r="L19" s="47"/>
      <c r="M19" s="18"/>
      <c r="N19" s="6"/>
      <c r="O19" s="6"/>
      <c r="P19" s="18"/>
      <c r="Q19" s="18"/>
    </row>
    <row r="20" spans="1:17" ht="13.5" customHeight="1">
      <c r="A20" s="60"/>
      <c r="B20" s="52" t="s">
        <v>12</v>
      </c>
      <c r="C20" s="47">
        <v>1450</v>
      </c>
      <c r="D20" s="49">
        <v>1619.09</v>
      </c>
      <c r="E20" s="49">
        <v>0.85</v>
      </c>
      <c r="F20" s="47">
        <f t="shared" ref="F20" si="5">ROUNDDOWN(C20*D20*E20,0)</f>
        <v>1995528</v>
      </c>
      <c r="G20" s="23">
        <v>88584</v>
      </c>
      <c r="H20" s="17">
        <v>13</v>
      </c>
      <c r="I20" s="36">
        <f>16.67/16.61</f>
        <v>1.0036122817579773</v>
      </c>
      <c r="J20" s="20">
        <v>15</v>
      </c>
      <c r="K20" s="9">
        <f>ROUNDDOWN(G20*J20,0)</f>
        <v>1328760</v>
      </c>
      <c r="L20" s="47">
        <v>400</v>
      </c>
      <c r="M20" s="17">
        <v>1425.6</v>
      </c>
      <c r="N20" s="5">
        <v>0</v>
      </c>
      <c r="O20" s="5">
        <v>0</v>
      </c>
      <c r="P20" s="17">
        <v>19.84</v>
      </c>
      <c r="Q20" s="27">
        <f t="shared" si="2"/>
        <v>0</v>
      </c>
    </row>
    <row r="21" spans="1:17">
      <c r="A21" s="60"/>
      <c r="B21" s="52"/>
      <c r="C21" s="47"/>
      <c r="D21" s="50"/>
      <c r="E21" s="50"/>
      <c r="F21" s="47"/>
      <c r="G21" s="23">
        <v>305928</v>
      </c>
      <c r="H21" s="17">
        <v>13</v>
      </c>
      <c r="I21" s="36">
        <f>14.25/14.19</f>
        <v>1.0042283298097252</v>
      </c>
      <c r="J21" s="20">
        <v>12.83</v>
      </c>
      <c r="K21" s="9">
        <f t="shared" si="0"/>
        <v>3925056</v>
      </c>
      <c r="L21" s="47"/>
      <c r="M21" s="17">
        <v>427.68</v>
      </c>
      <c r="N21" s="5">
        <f>ROUNDDOWN(L20*M21*1,0)</f>
        <v>171072</v>
      </c>
      <c r="O21" s="5">
        <v>0</v>
      </c>
      <c r="P21" s="17">
        <v>24.12</v>
      </c>
      <c r="Q21" s="27">
        <f t="shared" si="2"/>
        <v>0</v>
      </c>
    </row>
    <row r="22" spans="1:17">
      <c r="A22" s="60"/>
      <c r="B22" s="52"/>
      <c r="C22" s="47"/>
      <c r="D22" s="51"/>
      <c r="E22" s="51"/>
      <c r="F22" s="47"/>
      <c r="G22" s="23">
        <v>354408</v>
      </c>
      <c r="H22" s="17">
        <v>9.81</v>
      </c>
      <c r="I22" s="36">
        <f>8.93/8.87</f>
        <v>1.0067643742953778</v>
      </c>
      <c r="J22" s="20">
        <v>8.0399999999999991</v>
      </c>
      <c r="K22" s="9">
        <f t="shared" si="0"/>
        <v>2849440</v>
      </c>
      <c r="L22" s="47"/>
      <c r="M22" s="18"/>
      <c r="N22" s="6"/>
      <c r="O22" s="6"/>
      <c r="P22" s="18"/>
      <c r="Q22" s="18"/>
    </row>
    <row r="23" spans="1:17" ht="13.5" customHeight="1">
      <c r="A23" s="60"/>
      <c r="B23" s="52" t="s">
        <v>13</v>
      </c>
      <c r="C23" s="47">
        <v>1450</v>
      </c>
      <c r="D23" s="49">
        <v>1619.09</v>
      </c>
      <c r="E23" s="49">
        <v>0.85</v>
      </c>
      <c r="F23" s="47">
        <f t="shared" ref="F23" si="6">ROUNDDOWN(C23*D23*E23,0)</f>
        <v>1995528</v>
      </c>
      <c r="G23" s="23">
        <v>76128</v>
      </c>
      <c r="H23" s="17">
        <v>13</v>
      </c>
      <c r="I23" s="36">
        <f>16.67/16.61</f>
        <v>1.0036122817579773</v>
      </c>
      <c r="J23" s="20">
        <v>15</v>
      </c>
      <c r="K23" s="9">
        <f>ROUNDDOWN(G23*J23,0)</f>
        <v>1141920</v>
      </c>
      <c r="L23" s="47">
        <v>400</v>
      </c>
      <c r="M23" s="17">
        <v>1425.6</v>
      </c>
      <c r="N23" s="5">
        <v>0</v>
      </c>
      <c r="O23" s="5">
        <v>0</v>
      </c>
      <c r="P23" s="17">
        <v>19.84</v>
      </c>
      <c r="Q23" s="27">
        <f t="shared" si="2"/>
        <v>0</v>
      </c>
    </row>
    <row r="24" spans="1:17">
      <c r="A24" s="60"/>
      <c r="B24" s="52"/>
      <c r="C24" s="47"/>
      <c r="D24" s="50"/>
      <c r="E24" s="50"/>
      <c r="F24" s="47"/>
      <c r="G24" s="23">
        <v>264768</v>
      </c>
      <c r="H24" s="17">
        <v>13</v>
      </c>
      <c r="I24" s="36">
        <f>14.25/14.19</f>
        <v>1.0042283298097252</v>
      </c>
      <c r="J24" s="20">
        <v>12.83</v>
      </c>
      <c r="K24" s="9">
        <f t="shared" si="0"/>
        <v>3396973</v>
      </c>
      <c r="L24" s="47"/>
      <c r="M24" s="17">
        <v>427.68</v>
      </c>
      <c r="N24" s="5">
        <f>ROUNDDOWN(L23*M24*1,0)</f>
        <v>171072</v>
      </c>
      <c r="O24" s="5">
        <v>0</v>
      </c>
      <c r="P24" s="17">
        <v>24.12</v>
      </c>
      <c r="Q24" s="27">
        <f t="shared" si="2"/>
        <v>0</v>
      </c>
    </row>
    <row r="25" spans="1:17">
      <c r="A25" s="60"/>
      <c r="B25" s="52"/>
      <c r="C25" s="47"/>
      <c r="D25" s="51"/>
      <c r="E25" s="51"/>
      <c r="F25" s="47"/>
      <c r="G25" s="31">
        <v>358704</v>
      </c>
      <c r="H25" s="17">
        <v>9.81</v>
      </c>
      <c r="I25" s="36">
        <f>8.93/8.87</f>
        <v>1.0067643742953778</v>
      </c>
      <c r="J25" s="20">
        <v>8.0399999999999991</v>
      </c>
      <c r="K25" s="9">
        <f t="shared" si="0"/>
        <v>2883980</v>
      </c>
      <c r="L25" s="47"/>
      <c r="M25" s="18"/>
      <c r="N25" s="6"/>
      <c r="O25" s="6"/>
      <c r="P25" s="18"/>
      <c r="Q25" s="18"/>
    </row>
    <row r="26" spans="1:17" ht="13.5" customHeight="1">
      <c r="A26" s="60"/>
      <c r="B26" s="52" t="s">
        <v>14</v>
      </c>
      <c r="C26" s="47">
        <v>1450</v>
      </c>
      <c r="D26" s="49">
        <v>1619.09</v>
      </c>
      <c r="E26" s="49">
        <v>0.85</v>
      </c>
      <c r="F26" s="47">
        <f t="shared" ref="F26" si="7">ROUNDDOWN(C26*D26*E26,0)</f>
        <v>1995528</v>
      </c>
      <c r="G26" s="23"/>
      <c r="H26" s="5"/>
      <c r="I26" s="5"/>
      <c r="J26" s="19"/>
      <c r="K26" s="9">
        <f>ROUNDDOWN(G26*J26,0)</f>
        <v>0</v>
      </c>
      <c r="L26" s="47">
        <v>400</v>
      </c>
      <c r="M26" s="17">
        <v>1425.6</v>
      </c>
      <c r="N26" s="5">
        <v>0</v>
      </c>
      <c r="O26" s="5">
        <v>0</v>
      </c>
      <c r="P26" s="17">
        <v>18.29</v>
      </c>
      <c r="Q26" s="27">
        <f t="shared" si="2"/>
        <v>0</v>
      </c>
    </row>
    <row r="27" spans="1:17">
      <c r="A27" s="60"/>
      <c r="B27" s="52"/>
      <c r="C27" s="47"/>
      <c r="D27" s="50"/>
      <c r="E27" s="50"/>
      <c r="F27" s="47"/>
      <c r="G27" s="23">
        <v>352776</v>
      </c>
      <c r="H27" s="17">
        <v>12.25</v>
      </c>
      <c r="I27" s="36">
        <f>13.31/13.25</f>
        <v>1.0045283018867925</v>
      </c>
      <c r="J27" s="20">
        <v>11.98</v>
      </c>
      <c r="K27" s="9">
        <f t="shared" si="0"/>
        <v>4226256</v>
      </c>
      <c r="L27" s="47"/>
      <c r="M27" s="17">
        <v>427.68</v>
      </c>
      <c r="N27" s="5">
        <f>ROUNDDOWN(L26*M27*1,0)</f>
        <v>171072</v>
      </c>
      <c r="O27" s="5">
        <v>0</v>
      </c>
      <c r="P27" s="17">
        <v>22.17</v>
      </c>
      <c r="Q27" s="27">
        <f t="shared" si="2"/>
        <v>0</v>
      </c>
    </row>
    <row r="28" spans="1:17">
      <c r="A28" s="60"/>
      <c r="B28" s="52"/>
      <c r="C28" s="47"/>
      <c r="D28" s="51"/>
      <c r="E28" s="51"/>
      <c r="F28" s="47"/>
      <c r="G28" s="23">
        <v>310608</v>
      </c>
      <c r="H28" s="17">
        <v>9.81</v>
      </c>
      <c r="I28" s="36">
        <f>8.93/8.87</f>
        <v>1.0067643742953778</v>
      </c>
      <c r="J28" s="20">
        <v>8.0399999999999991</v>
      </c>
      <c r="K28" s="9">
        <f t="shared" si="0"/>
        <v>2497288</v>
      </c>
      <c r="L28" s="47"/>
      <c r="M28" s="18"/>
      <c r="N28" s="6"/>
      <c r="O28" s="6"/>
      <c r="P28" s="18"/>
      <c r="Q28" s="18"/>
    </row>
    <row r="29" spans="1:17" ht="13.5" customHeight="1">
      <c r="A29" s="60"/>
      <c r="B29" s="52" t="s">
        <v>15</v>
      </c>
      <c r="C29" s="47">
        <v>1450</v>
      </c>
      <c r="D29" s="49">
        <v>1619.09</v>
      </c>
      <c r="E29" s="49">
        <v>0.85</v>
      </c>
      <c r="F29" s="47">
        <f t="shared" ref="F29" si="8">ROUNDDOWN(C29*D29*E29,0)</f>
        <v>1995528</v>
      </c>
      <c r="G29" s="23">
        <v>0</v>
      </c>
      <c r="H29" s="5"/>
      <c r="I29" s="5"/>
      <c r="J29" s="19"/>
      <c r="K29" s="9">
        <f>ROUNDDOWN(G29*J29,0)</f>
        <v>0</v>
      </c>
      <c r="L29" s="47">
        <v>400</v>
      </c>
      <c r="M29" s="17">
        <v>1425.6</v>
      </c>
      <c r="N29" s="5">
        <v>0</v>
      </c>
      <c r="O29" s="5">
        <v>0</v>
      </c>
      <c r="P29" s="17">
        <v>18.29</v>
      </c>
      <c r="Q29" s="27">
        <f t="shared" si="2"/>
        <v>0</v>
      </c>
    </row>
    <row r="30" spans="1:17">
      <c r="A30" s="60"/>
      <c r="B30" s="52"/>
      <c r="C30" s="47"/>
      <c r="D30" s="50"/>
      <c r="E30" s="50"/>
      <c r="F30" s="47"/>
      <c r="G30" s="23">
        <v>286128</v>
      </c>
      <c r="H30" s="17">
        <v>12.25</v>
      </c>
      <c r="I30" s="36">
        <f>13.31/13.25</f>
        <v>1.0045283018867925</v>
      </c>
      <c r="J30" s="20">
        <v>11.98</v>
      </c>
      <c r="K30" s="9">
        <f t="shared" si="0"/>
        <v>3427813</v>
      </c>
      <c r="L30" s="47"/>
      <c r="M30" s="17">
        <v>427.68</v>
      </c>
      <c r="N30" s="5">
        <f>ROUNDDOWN(L29*M30*1,0)</f>
        <v>171072</v>
      </c>
      <c r="O30" s="5">
        <v>0</v>
      </c>
      <c r="P30" s="17">
        <v>22.17</v>
      </c>
      <c r="Q30" s="27">
        <f t="shared" si="2"/>
        <v>0</v>
      </c>
    </row>
    <row r="31" spans="1:17">
      <c r="A31" s="60"/>
      <c r="B31" s="52"/>
      <c r="C31" s="47"/>
      <c r="D31" s="51"/>
      <c r="E31" s="51"/>
      <c r="F31" s="47"/>
      <c r="G31" s="23">
        <v>270192</v>
      </c>
      <c r="H31" s="17">
        <v>9.81</v>
      </c>
      <c r="I31" s="36">
        <f>8.93/8.87</f>
        <v>1.0067643742953778</v>
      </c>
      <c r="J31" s="20">
        <v>8.0399999999999991</v>
      </c>
      <c r="K31" s="9">
        <f t="shared" si="0"/>
        <v>2172343</v>
      </c>
      <c r="L31" s="47"/>
      <c r="M31" s="18"/>
      <c r="N31" s="6"/>
      <c r="O31" s="6"/>
      <c r="P31" s="18"/>
      <c r="Q31" s="18"/>
    </row>
    <row r="32" spans="1:17" ht="13.5" customHeight="1">
      <c r="A32" s="60"/>
      <c r="B32" s="52" t="s">
        <v>16</v>
      </c>
      <c r="C32" s="47">
        <v>1450</v>
      </c>
      <c r="D32" s="49">
        <v>1619.09</v>
      </c>
      <c r="E32" s="49">
        <v>0.85</v>
      </c>
      <c r="F32" s="47">
        <f t="shared" ref="F32" si="9">ROUNDDOWN(C32*D32*E32,0)</f>
        <v>1995528</v>
      </c>
      <c r="G32" s="23"/>
      <c r="H32" s="5"/>
      <c r="I32" s="5"/>
      <c r="J32" s="19"/>
      <c r="K32" s="9">
        <f>ROUNDDOWN(G32*J32,0)</f>
        <v>0</v>
      </c>
      <c r="L32" s="47">
        <v>400</v>
      </c>
      <c r="M32" s="17">
        <v>1425.6</v>
      </c>
      <c r="N32" s="5">
        <v>0</v>
      </c>
      <c r="O32" s="5">
        <v>0</v>
      </c>
      <c r="P32" s="17">
        <v>18.29</v>
      </c>
      <c r="Q32" s="27">
        <f t="shared" si="2"/>
        <v>0</v>
      </c>
    </row>
    <row r="33" spans="1:17">
      <c r="A33" s="60"/>
      <c r="B33" s="52"/>
      <c r="C33" s="47"/>
      <c r="D33" s="50"/>
      <c r="E33" s="50"/>
      <c r="F33" s="47"/>
      <c r="G33" s="23">
        <f>(H27年度電力A!G33+H28年度電力A!G33+H29年度電力A!G33+H30年度電力A!G33)/4</f>
        <v>319835</v>
      </c>
      <c r="H33" s="17">
        <v>12.25</v>
      </c>
      <c r="I33" s="36">
        <f>13.31/13.25</f>
        <v>1.0045283018867925</v>
      </c>
      <c r="J33" s="20">
        <v>11.98</v>
      </c>
      <c r="K33" s="9">
        <f t="shared" si="0"/>
        <v>3831623</v>
      </c>
      <c r="L33" s="47"/>
      <c r="M33" s="17">
        <v>427.68</v>
      </c>
      <c r="N33" s="5">
        <f>ROUNDDOWN(L32*M33*1,0)</f>
        <v>171072</v>
      </c>
      <c r="O33" s="5">
        <v>0</v>
      </c>
      <c r="P33" s="17">
        <v>22.17</v>
      </c>
      <c r="Q33" s="27">
        <f t="shared" si="2"/>
        <v>0</v>
      </c>
    </row>
    <row r="34" spans="1:17">
      <c r="A34" s="61"/>
      <c r="B34" s="52"/>
      <c r="C34" s="47"/>
      <c r="D34" s="51"/>
      <c r="E34" s="51"/>
      <c r="F34" s="47"/>
      <c r="G34" s="23">
        <f>(H27年度電力A!G34+H28年度電力A!G34+H29年度電力A!G34+H30年度電力A!G34)/4</f>
        <v>315634.5</v>
      </c>
      <c r="H34" s="17">
        <v>9.81</v>
      </c>
      <c r="I34" s="36">
        <f>8.93/8.87</f>
        <v>1.0067643742953778</v>
      </c>
      <c r="J34" s="20">
        <v>8.0399999999999991</v>
      </c>
      <c r="K34" s="9">
        <f t="shared" si="0"/>
        <v>2537701</v>
      </c>
      <c r="L34" s="47"/>
      <c r="M34" s="18"/>
      <c r="N34" s="6"/>
      <c r="O34" s="6"/>
      <c r="P34" s="18"/>
      <c r="Q34" s="18"/>
    </row>
    <row r="35" spans="1:17">
      <c r="A35" s="60" t="s">
        <v>61</v>
      </c>
      <c r="B35" s="52" t="s">
        <v>35</v>
      </c>
      <c r="C35" s="47">
        <v>1450</v>
      </c>
      <c r="D35" s="49">
        <v>1619.09</v>
      </c>
      <c r="E35" s="49">
        <v>0.85</v>
      </c>
      <c r="F35" s="47">
        <f t="shared" ref="F35" si="10">ROUNDDOWN(C35*D35*E35,0)</f>
        <v>1995528</v>
      </c>
      <c r="G35" s="23">
        <f>(H27年度電力A!G35+H28年度電力A!G35+H29年度電力A!G35+H30年度電力A!G35)/4</f>
        <v>0</v>
      </c>
      <c r="H35" s="5"/>
      <c r="I35" s="5"/>
      <c r="J35" s="19"/>
      <c r="K35" s="9">
        <f>ROUNDDOWN(G35*J35,0)</f>
        <v>0</v>
      </c>
      <c r="L35" s="47">
        <v>400</v>
      </c>
      <c r="M35" s="17">
        <v>1425.6</v>
      </c>
      <c r="N35" s="5">
        <v>0</v>
      </c>
      <c r="O35" s="5">
        <v>0</v>
      </c>
      <c r="P35" s="17">
        <v>18.29</v>
      </c>
      <c r="Q35" s="27">
        <f t="shared" si="2"/>
        <v>0</v>
      </c>
    </row>
    <row r="36" spans="1:17">
      <c r="A36" s="60"/>
      <c r="B36" s="52"/>
      <c r="C36" s="47"/>
      <c r="D36" s="50"/>
      <c r="E36" s="50"/>
      <c r="F36" s="47"/>
      <c r="G36" s="23">
        <f>(H27年度電力A!G36+H28年度電力A!G36+H29年度電力A!G36+H30年度電力A!G36)/4</f>
        <v>311890</v>
      </c>
      <c r="H36" s="17">
        <v>12.25</v>
      </c>
      <c r="I36" s="36">
        <f>13.31/13.25</f>
        <v>1.0045283018867925</v>
      </c>
      <c r="J36" s="20">
        <v>11.98</v>
      </c>
      <c r="K36" s="9">
        <f t="shared" si="0"/>
        <v>3736442</v>
      </c>
      <c r="L36" s="47"/>
      <c r="M36" s="17">
        <v>427.68</v>
      </c>
      <c r="N36" s="5">
        <f>ROUNDDOWN(L35*M36*1,0)</f>
        <v>171072</v>
      </c>
      <c r="O36" s="5">
        <v>0</v>
      </c>
      <c r="P36" s="17">
        <v>22.17</v>
      </c>
      <c r="Q36" s="27">
        <f t="shared" si="2"/>
        <v>0</v>
      </c>
    </row>
    <row r="37" spans="1:17">
      <c r="A37" s="60"/>
      <c r="B37" s="52"/>
      <c r="C37" s="47"/>
      <c r="D37" s="51"/>
      <c r="E37" s="51"/>
      <c r="F37" s="47"/>
      <c r="G37" s="23">
        <f>(H27年度電力A!G37+H28年度電力A!G37+H29年度電力A!G37+H30年度電力A!G37)/4</f>
        <v>336187</v>
      </c>
      <c r="H37" s="17">
        <v>9.81</v>
      </c>
      <c r="I37" s="36">
        <f>8.93/8.87</f>
        <v>1.0067643742953778</v>
      </c>
      <c r="J37" s="20">
        <v>8.0399999999999991</v>
      </c>
      <c r="K37" s="9">
        <f t="shared" si="0"/>
        <v>2702943</v>
      </c>
      <c r="L37" s="47"/>
      <c r="M37" s="18"/>
      <c r="N37" s="6"/>
      <c r="O37" s="6"/>
      <c r="P37" s="18"/>
      <c r="Q37" s="18"/>
    </row>
    <row r="38" spans="1:17">
      <c r="A38" s="60"/>
      <c r="B38" s="52" t="s">
        <v>36</v>
      </c>
      <c r="C38" s="47">
        <v>1450</v>
      </c>
      <c r="D38" s="49">
        <v>1619.09</v>
      </c>
      <c r="E38" s="49">
        <v>0.85</v>
      </c>
      <c r="F38" s="47">
        <f t="shared" ref="F38" si="11">ROUNDDOWN(C38*D38*E38,0)</f>
        <v>1995528</v>
      </c>
      <c r="G38" s="23">
        <f>(H27年度電力A!G38+H28年度電力A!G38+H29年度電力A!G38+H30年度電力A!G38)/4</f>
        <v>0</v>
      </c>
      <c r="H38" s="5"/>
      <c r="I38" s="5"/>
      <c r="J38" s="19"/>
      <c r="K38" s="9">
        <f>ROUNDDOWN(G38*J38,0)</f>
        <v>0</v>
      </c>
      <c r="L38" s="47">
        <v>400</v>
      </c>
      <c r="M38" s="17">
        <v>1425.6</v>
      </c>
      <c r="N38" s="5">
        <v>0</v>
      </c>
      <c r="O38" s="5">
        <v>0</v>
      </c>
      <c r="P38" s="17">
        <v>18.29</v>
      </c>
      <c r="Q38" s="27">
        <f t="shared" si="2"/>
        <v>0</v>
      </c>
    </row>
    <row r="39" spans="1:17">
      <c r="A39" s="60"/>
      <c r="B39" s="52"/>
      <c r="C39" s="47"/>
      <c r="D39" s="50"/>
      <c r="E39" s="50"/>
      <c r="F39" s="47"/>
      <c r="G39" s="23">
        <f>(H27年度電力A!G39+H28年度電力A!G39+H29年度電力A!G39+H30年度電力A!G39)/4</f>
        <v>310697</v>
      </c>
      <c r="H39" s="17">
        <v>12.25</v>
      </c>
      <c r="I39" s="36">
        <f>13.31/13.25</f>
        <v>1.0045283018867925</v>
      </c>
      <c r="J39" s="20">
        <v>11.98</v>
      </c>
      <c r="K39" s="9">
        <f t="shared" si="0"/>
        <v>3722150</v>
      </c>
      <c r="L39" s="47"/>
      <c r="M39" s="17">
        <v>427.68</v>
      </c>
      <c r="N39" s="5">
        <f>ROUNDDOWN(L38*M39*1,0)</f>
        <v>171072</v>
      </c>
      <c r="O39" s="5">
        <v>0</v>
      </c>
      <c r="P39" s="17">
        <v>22.17</v>
      </c>
      <c r="Q39" s="27">
        <f t="shared" si="2"/>
        <v>0</v>
      </c>
    </row>
    <row r="40" spans="1:17">
      <c r="A40" s="60"/>
      <c r="B40" s="52"/>
      <c r="C40" s="47"/>
      <c r="D40" s="51"/>
      <c r="E40" s="51"/>
      <c r="F40" s="47"/>
      <c r="G40" s="23">
        <f>(H27年度電力A!G40+H28年度電力A!G40+H29年度電力A!G40+H30年度電力A!G40)/4</f>
        <v>278053</v>
      </c>
      <c r="H40" s="17">
        <v>9.81</v>
      </c>
      <c r="I40" s="36">
        <f>8.93/8.87</f>
        <v>1.0067643742953778</v>
      </c>
      <c r="J40" s="20">
        <v>8.0399999999999991</v>
      </c>
      <c r="K40" s="9">
        <f t="shared" si="0"/>
        <v>2235546</v>
      </c>
      <c r="L40" s="47"/>
      <c r="M40" s="18"/>
      <c r="N40" s="6"/>
      <c r="O40" s="6"/>
      <c r="P40" s="18"/>
      <c r="Q40" s="18"/>
    </row>
    <row r="41" spans="1:17">
      <c r="A41" s="60"/>
      <c r="B41" s="52" t="s">
        <v>37</v>
      </c>
      <c r="C41" s="47">
        <v>1450</v>
      </c>
      <c r="D41" s="49">
        <v>1619.09</v>
      </c>
      <c r="E41" s="49">
        <v>0.85</v>
      </c>
      <c r="F41" s="47">
        <f t="shared" ref="F41" si="12">ROUNDDOWN(C41*D41*E41,0)</f>
        <v>1995528</v>
      </c>
      <c r="G41" s="23">
        <f>(H27年度電力A!G41+H28年度電力A!G41+H29年度電力A!G41+H30年度電力A!G41)/4</f>
        <v>0</v>
      </c>
      <c r="H41" s="5"/>
      <c r="I41" s="5"/>
      <c r="J41" s="19"/>
      <c r="K41" s="9">
        <f>ROUNDDOWN(G41*J41,0)</f>
        <v>0</v>
      </c>
      <c r="L41" s="47">
        <v>400</v>
      </c>
      <c r="M41" s="17">
        <v>1425.6</v>
      </c>
      <c r="N41" s="5">
        <v>0</v>
      </c>
      <c r="O41" s="5">
        <v>0</v>
      </c>
      <c r="P41" s="17">
        <v>18.29</v>
      </c>
      <c r="Q41" s="27">
        <f t="shared" si="2"/>
        <v>0</v>
      </c>
    </row>
    <row r="42" spans="1:17">
      <c r="A42" s="60"/>
      <c r="B42" s="52"/>
      <c r="C42" s="47"/>
      <c r="D42" s="50"/>
      <c r="E42" s="50"/>
      <c r="F42" s="47"/>
      <c r="G42" s="23">
        <f>(H27年度電力A!G42+H28年度電力A!G42+H29年度電力A!G42+H30年度電力A!G42)/4</f>
        <v>330223</v>
      </c>
      <c r="H42" s="17">
        <v>12.25</v>
      </c>
      <c r="I42" s="36">
        <f>13.31/13.25</f>
        <v>1.0045283018867925</v>
      </c>
      <c r="J42" s="20">
        <v>11.98</v>
      </c>
      <c r="K42" s="9">
        <f t="shared" si="0"/>
        <v>3956071</v>
      </c>
      <c r="L42" s="47"/>
      <c r="M42" s="17">
        <v>427.68</v>
      </c>
      <c r="N42" s="5">
        <f>ROUNDDOWN(L41*M42*1,0)</f>
        <v>171072</v>
      </c>
      <c r="O42" s="5">
        <v>0</v>
      </c>
      <c r="P42" s="17">
        <v>22.17</v>
      </c>
      <c r="Q42" s="27">
        <f t="shared" si="2"/>
        <v>0</v>
      </c>
    </row>
    <row r="43" spans="1:17">
      <c r="A43" s="61"/>
      <c r="B43" s="52"/>
      <c r="C43" s="47"/>
      <c r="D43" s="51"/>
      <c r="E43" s="51"/>
      <c r="F43" s="47"/>
      <c r="G43" s="23">
        <f>(H27年度電力A!G43+H28年度電力A!G43+H29年度電力A!G43+H30年度電力A!G43)/4</f>
        <v>281748</v>
      </c>
      <c r="H43" s="17">
        <v>9.81</v>
      </c>
      <c r="I43" s="36">
        <f>8.93/8.87</f>
        <v>1.0067643742953778</v>
      </c>
      <c r="J43" s="20">
        <v>8.0399999999999991</v>
      </c>
      <c r="K43" s="9">
        <f t="shared" si="0"/>
        <v>2265253</v>
      </c>
      <c r="L43" s="47"/>
      <c r="M43" s="18"/>
      <c r="N43" s="6"/>
      <c r="O43" s="6"/>
      <c r="P43" s="18"/>
      <c r="Q43" s="18"/>
    </row>
    <row r="44" spans="1:17">
      <c r="A44" s="52" t="s">
        <v>48</v>
      </c>
      <c r="B44" s="52"/>
      <c r="C44" s="6"/>
      <c r="D44" s="6"/>
      <c r="E44" s="5"/>
      <c r="F44" s="5">
        <f>SUM(F8:F43)</f>
        <v>23946336</v>
      </c>
      <c r="G44" s="5">
        <f>SUM(G8:G43)</f>
        <v>7707651.5</v>
      </c>
      <c r="H44" s="5"/>
      <c r="I44" s="5"/>
      <c r="J44" s="19"/>
      <c r="K44" s="9">
        <f>SUM(K8:K43)</f>
        <v>79165859</v>
      </c>
      <c r="L44" s="6"/>
      <c r="M44" s="29"/>
      <c r="N44" s="27">
        <f>SUM(N8:N43)</f>
        <v>2052864</v>
      </c>
      <c r="O44" s="5">
        <f>SUM(O8:O43)</f>
        <v>0</v>
      </c>
      <c r="P44" s="18"/>
      <c r="Q44" s="5">
        <f>SUM(Q8:Q43)</f>
        <v>0</v>
      </c>
    </row>
    <row r="45" spans="1:17" ht="20.100000000000001" customHeight="1">
      <c r="A45" s="89" t="s">
        <v>73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86">
        <f>F44+K44+N44</f>
        <v>105165059</v>
      </c>
      <c r="Q45" s="87"/>
    </row>
    <row r="46" spans="1:17" ht="13.5" customHeight="1">
      <c r="A46" s="90" t="s">
        <v>70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88" t="s">
        <v>59</v>
      </c>
      <c r="O46" s="88"/>
      <c r="P46" s="86">
        <f>ROUNDUP(P45/1.08,0)</f>
        <v>97375055</v>
      </c>
      <c r="Q46" s="87"/>
    </row>
    <row r="47" spans="1:17" ht="17.25" customHeight="1">
      <c r="A47" s="90" t="s">
        <v>74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</row>
    <row r="48" spans="1:17" s="12" customFormat="1" ht="17.25" customHeight="1">
      <c r="A48" s="90" t="s">
        <v>69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</row>
    <row r="49" spans="1:13" s="12" customFormat="1" ht="17.25" customHeight="1">
      <c r="A49" s="90" t="s">
        <v>72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</row>
    <row r="50" spans="1:13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3"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  <mergeCell ref="A8:A34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4:B16"/>
    <mergeCell ref="C14:C16"/>
    <mergeCell ref="D14:D16"/>
    <mergeCell ref="E14:E16"/>
    <mergeCell ref="F14:F16"/>
    <mergeCell ref="L14:L16"/>
    <mergeCell ref="B11:B13"/>
    <mergeCell ref="C11:C13"/>
    <mergeCell ref="D11:D13"/>
    <mergeCell ref="E11:E13"/>
    <mergeCell ref="F11:F13"/>
    <mergeCell ref="L11:L13"/>
    <mergeCell ref="B20:B22"/>
    <mergeCell ref="C20:C22"/>
    <mergeCell ref="D20:D22"/>
    <mergeCell ref="E20:E22"/>
    <mergeCell ref="F20:F22"/>
    <mergeCell ref="L20:L22"/>
    <mergeCell ref="B17:B19"/>
    <mergeCell ref="C17:C19"/>
    <mergeCell ref="D17:D19"/>
    <mergeCell ref="E17:E19"/>
    <mergeCell ref="F17:F19"/>
    <mergeCell ref="L17:L19"/>
    <mergeCell ref="B26:B28"/>
    <mergeCell ref="C26:C28"/>
    <mergeCell ref="D26:D28"/>
    <mergeCell ref="E26:E28"/>
    <mergeCell ref="F26:F28"/>
    <mergeCell ref="L26:L28"/>
    <mergeCell ref="B23:B25"/>
    <mergeCell ref="C23:C25"/>
    <mergeCell ref="D23:D25"/>
    <mergeCell ref="E23:E25"/>
    <mergeCell ref="F23:F25"/>
    <mergeCell ref="L23:L25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L35:L37"/>
    <mergeCell ref="B38:B40"/>
    <mergeCell ref="C38:C40"/>
    <mergeCell ref="D38:D40"/>
    <mergeCell ref="E38:E40"/>
    <mergeCell ref="F38:F40"/>
    <mergeCell ref="L38:L40"/>
    <mergeCell ref="A35:A43"/>
    <mergeCell ref="B35:B37"/>
    <mergeCell ref="C35:C37"/>
    <mergeCell ref="D35:D37"/>
    <mergeCell ref="E35:E37"/>
    <mergeCell ref="F35:F37"/>
    <mergeCell ref="B41:B43"/>
    <mergeCell ref="C41:C43"/>
    <mergeCell ref="D41:D43"/>
    <mergeCell ref="E41:E43"/>
    <mergeCell ref="A46:L46"/>
    <mergeCell ref="N46:O46"/>
    <mergeCell ref="P46:Q46"/>
    <mergeCell ref="A47:L47"/>
    <mergeCell ref="A48:L48"/>
    <mergeCell ref="A49:L49"/>
    <mergeCell ref="F41:F43"/>
    <mergeCell ref="L41:L43"/>
    <mergeCell ref="A44:B44"/>
    <mergeCell ref="A45:L45"/>
    <mergeCell ref="N45:O45"/>
    <mergeCell ref="P45:Q45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8"/>
  <sheetViews>
    <sheetView view="pageBreakPreview" zoomScale="85" zoomScaleNormal="100" zoomScaleSheetLayoutView="85" workbookViewId="0">
      <pane xSplit="2" ySplit="1" topLeftCell="E29" activePane="bottomRight" state="frozen"/>
      <selection pane="topRight" activeCell="C1" sqref="C1"/>
      <selection pane="bottomLeft" activeCell="A2" sqref="A2"/>
      <selection pane="bottomRight" activeCell="K20" sqref="K20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78</v>
      </c>
      <c r="B8" s="52" t="s">
        <v>23</v>
      </c>
      <c r="C8" s="47">
        <v>1450</v>
      </c>
      <c r="D8" s="76">
        <v>2046</v>
      </c>
      <c r="E8" s="49">
        <v>0.85</v>
      </c>
      <c r="F8" s="47">
        <f>ROUNDDOWN(C8*D8*E8,0)</f>
        <v>2521695</v>
      </c>
      <c r="G8" s="5"/>
      <c r="H8" s="5"/>
      <c r="I8" s="5"/>
      <c r="J8" s="24"/>
      <c r="K8" s="9">
        <f>ROUNDDOWN(G8*J8,0)</f>
        <v>0</v>
      </c>
      <c r="L8" s="47">
        <v>400</v>
      </c>
      <c r="M8" s="22">
        <v>1425.6</v>
      </c>
      <c r="N8" s="5">
        <v>0</v>
      </c>
      <c r="O8" s="5">
        <v>0</v>
      </c>
      <c r="P8" s="22">
        <v>18.600000000000001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321900</v>
      </c>
      <c r="H9" s="17">
        <v>12.25</v>
      </c>
      <c r="I9" s="36">
        <f>13.31/13.25</f>
        <v>1.0045283018867925</v>
      </c>
      <c r="J9" s="26">
        <f>ROUND(13.53*0.9,2)</f>
        <v>12.18</v>
      </c>
      <c r="K9" s="9">
        <f t="shared" ref="K9:K43" si="0">ROUNDDOWN(G9*J9,0)</f>
        <v>3920742</v>
      </c>
      <c r="L9" s="47"/>
      <c r="M9" s="22">
        <v>435.6</v>
      </c>
      <c r="N9" s="5">
        <f>ROUNDDOWN(L8*M9*1,0)</f>
        <v>174240</v>
      </c>
      <c r="O9" s="5">
        <v>0</v>
      </c>
      <c r="P9" s="22">
        <v>22.55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234432</v>
      </c>
      <c r="H10" s="17">
        <v>9.81</v>
      </c>
      <c r="I10" s="36">
        <f>8.93/8.87</f>
        <v>1.0067643742953778</v>
      </c>
      <c r="J10" s="26">
        <f>ROUND(9.06*0.9,2)</f>
        <v>8.15</v>
      </c>
      <c r="K10" s="9">
        <f t="shared" si="0"/>
        <v>1910620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2046</v>
      </c>
      <c r="E11" s="49">
        <v>0.85</v>
      </c>
      <c r="F11" s="47">
        <f>ROUNDDOWN(C11*D11*E11,0)</f>
        <v>2521695</v>
      </c>
      <c r="G11" s="5">
        <f>ROUND((H28年度電力A!G11+H29年度電力A!G11+H30年度電力A!G11+H31年度電力A!G11)/4,0)</f>
        <v>0</v>
      </c>
      <c r="H11" s="5"/>
      <c r="I11" s="5"/>
      <c r="J11" s="24"/>
      <c r="K11" s="9">
        <f>ROUNDDOWN(G11*J11,0)</f>
        <v>0</v>
      </c>
      <c r="L11" s="47">
        <v>400</v>
      </c>
      <c r="M11" s="22">
        <v>1425.6</v>
      </c>
      <c r="N11" s="5">
        <v>0</v>
      </c>
      <c r="O11" s="5">
        <v>0</v>
      </c>
      <c r="P11" s="22">
        <v>18.600000000000001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360054</v>
      </c>
      <c r="H12" s="17">
        <v>12.25</v>
      </c>
      <c r="I12" s="36">
        <f>13.31/13.25</f>
        <v>1.0045283018867925</v>
      </c>
      <c r="J12" s="26">
        <f>ROUND(13.53*0.9,2)</f>
        <v>12.18</v>
      </c>
      <c r="K12" s="9">
        <f t="shared" si="0"/>
        <v>4385457</v>
      </c>
      <c r="L12" s="47"/>
      <c r="M12" s="22">
        <v>435.6</v>
      </c>
      <c r="N12" s="5">
        <f>ROUNDDOWN(L11*M12*1,0)</f>
        <v>174240</v>
      </c>
      <c r="O12" s="5">
        <v>0</v>
      </c>
      <c r="P12" s="22">
        <v>22.55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264475</v>
      </c>
      <c r="H13" s="17">
        <v>9.81</v>
      </c>
      <c r="I13" s="36">
        <f>8.93/8.87</f>
        <v>1.0067643742953778</v>
      </c>
      <c r="J13" s="26">
        <f>ROUND(9.06*0.9,2)</f>
        <v>8.15</v>
      </c>
      <c r="K13" s="9">
        <f t="shared" si="0"/>
        <v>2155471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6">
        <v>2046</v>
      </c>
      <c r="E14" s="49">
        <v>0.85</v>
      </c>
      <c r="F14" s="47">
        <f t="shared" ref="F14" si="2">ROUNDDOWN(C14*D14*E14,0)</f>
        <v>2521695</v>
      </c>
      <c r="G14" s="5">
        <f>ROUND((H28年度電力A!G14+H29年度電力A!G14+H30年度電力A!G14+H31年度電力A!G14)/4,0)</f>
        <v>0</v>
      </c>
      <c r="H14" s="5"/>
      <c r="I14" s="5"/>
      <c r="J14" s="24"/>
      <c r="K14" s="9">
        <f>ROUNDDOWN(G14*J14,0)</f>
        <v>0</v>
      </c>
      <c r="L14" s="47">
        <v>400</v>
      </c>
      <c r="M14" s="22">
        <v>1425.6</v>
      </c>
      <c r="N14" s="5">
        <v>0</v>
      </c>
      <c r="O14" s="5">
        <v>0</v>
      </c>
      <c r="P14" s="22">
        <v>18.600000000000001</v>
      </c>
      <c r="Q14" s="27">
        <f t="shared" si="1"/>
        <v>0</v>
      </c>
    </row>
    <row r="15" spans="1:17">
      <c r="A15" s="60"/>
      <c r="B15" s="52"/>
      <c r="C15" s="47"/>
      <c r="D15" s="76"/>
      <c r="E15" s="50"/>
      <c r="F15" s="47"/>
      <c r="G15" s="5">
        <v>423270</v>
      </c>
      <c r="H15" s="17">
        <v>12.25</v>
      </c>
      <c r="I15" s="36">
        <f>13.31/13.25</f>
        <v>1.0045283018867925</v>
      </c>
      <c r="J15" s="26">
        <f>ROUND(13.53*0.9,2)</f>
        <v>12.18</v>
      </c>
      <c r="K15" s="9">
        <f t="shared" si="0"/>
        <v>5155428</v>
      </c>
      <c r="L15" s="47"/>
      <c r="M15" s="22">
        <v>435.6</v>
      </c>
      <c r="N15" s="5">
        <f>ROUNDDOWN(L14*M15*1,0)</f>
        <v>174240</v>
      </c>
      <c r="O15" s="5">
        <v>0</v>
      </c>
      <c r="P15" s="22">
        <v>22.55</v>
      </c>
      <c r="Q15" s="27">
        <f t="shared" si="1"/>
        <v>0</v>
      </c>
    </row>
    <row r="16" spans="1:17">
      <c r="A16" s="60"/>
      <c r="B16" s="52"/>
      <c r="C16" s="47"/>
      <c r="D16" s="76"/>
      <c r="E16" s="51"/>
      <c r="F16" s="47"/>
      <c r="G16" s="5">
        <v>266628</v>
      </c>
      <c r="H16" s="17">
        <v>9.81</v>
      </c>
      <c r="I16" s="36">
        <f>8.93/8.87</f>
        <v>1.0067643742953778</v>
      </c>
      <c r="J16" s="26">
        <f>ROUND(9.06*0.9,2)</f>
        <v>8.15</v>
      </c>
      <c r="K16" s="9">
        <f t="shared" si="0"/>
        <v>2173018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6">
        <v>2046</v>
      </c>
      <c r="E17" s="49">
        <v>0.85</v>
      </c>
      <c r="F17" s="47">
        <f t="shared" ref="F17" si="3">ROUNDDOWN(C17*D17*E17,0)</f>
        <v>2521695</v>
      </c>
      <c r="G17" s="5">
        <v>83233</v>
      </c>
      <c r="H17" s="17">
        <v>13</v>
      </c>
      <c r="I17" s="36">
        <f>16.67/16.61</f>
        <v>1.0036122817579773</v>
      </c>
      <c r="J17" s="26">
        <f>ROUNDDOWN(16.95*0.9,2)</f>
        <v>15.25</v>
      </c>
      <c r="K17" s="9">
        <f>ROUNDDOWN(G17*J17,0)</f>
        <v>1269303</v>
      </c>
      <c r="L17" s="47">
        <v>400</v>
      </c>
      <c r="M17" s="22">
        <v>1425.6</v>
      </c>
      <c r="N17" s="5">
        <v>0</v>
      </c>
      <c r="O17" s="5">
        <v>0</v>
      </c>
      <c r="P17" s="22">
        <v>20.18</v>
      </c>
      <c r="Q17" s="27">
        <f t="shared" si="1"/>
        <v>0</v>
      </c>
    </row>
    <row r="18" spans="1:17">
      <c r="A18" s="60"/>
      <c r="B18" s="52"/>
      <c r="C18" s="47"/>
      <c r="D18" s="76"/>
      <c r="E18" s="50"/>
      <c r="F18" s="47"/>
      <c r="G18" s="5">
        <v>299403</v>
      </c>
      <c r="H18" s="17">
        <v>13</v>
      </c>
      <c r="I18" s="36">
        <f>14.25/14.19</f>
        <v>1.0042283298097252</v>
      </c>
      <c r="J18" s="26">
        <f>ROUND(14.48*0.9,2)</f>
        <v>13.03</v>
      </c>
      <c r="K18" s="9">
        <f t="shared" si="0"/>
        <v>3901221</v>
      </c>
      <c r="L18" s="47"/>
      <c r="M18" s="22">
        <v>435.6</v>
      </c>
      <c r="N18" s="5">
        <f>ROUNDDOWN(L17*M18*1,0)</f>
        <v>174240</v>
      </c>
      <c r="O18" s="5">
        <v>0</v>
      </c>
      <c r="P18" s="22">
        <v>24.54</v>
      </c>
      <c r="Q18" s="27">
        <f t="shared" si="1"/>
        <v>0</v>
      </c>
    </row>
    <row r="19" spans="1:17">
      <c r="A19" s="60"/>
      <c r="B19" s="52"/>
      <c r="C19" s="47"/>
      <c r="D19" s="76"/>
      <c r="E19" s="51"/>
      <c r="F19" s="47"/>
      <c r="G19" s="5">
        <v>364016</v>
      </c>
      <c r="H19" s="17">
        <v>9.81</v>
      </c>
      <c r="I19" s="36">
        <f>8.93/8.87</f>
        <v>1.0067643742953778</v>
      </c>
      <c r="J19" s="26">
        <f>ROUND(9.06*0.9,2)</f>
        <v>8.15</v>
      </c>
      <c r="K19" s="9">
        <f t="shared" si="0"/>
        <v>2966730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6">
        <v>2046</v>
      </c>
      <c r="E20" s="49">
        <v>0.85</v>
      </c>
      <c r="F20" s="47">
        <f t="shared" ref="F20" si="4">ROUNDDOWN(C20*D20*E20,0)</f>
        <v>2521695</v>
      </c>
      <c r="G20" s="5">
        <v>84577</v>
      </c>
      <c r="H20" s="17">
        <v>13</v>
      </c>
      <c r="I20" s="36">
        <f>16.67/16.61</f>
        <v>1.0036122817579773</v>
      </c>
      <c r="J20" s="26">
        <f>ROUNDDOWN(16.95*0.9,2)</f>
        <v>15.25</v>
      </c>
      <c r="K20" s="9">
        <f>ROUNDDOWN(G20*J20,0)</f>
        <v>1289799</v>
      </c>
      <c r="L20" s="47">
        <v>400</v>
      </c>
      <c r="M20" s="22">
        <v>1425.6</v>
      </c>
      <c r="N20" s="5">
        <v>0</v>
      </c>
      <c r="O20" s="5">
        <v>0</v>
      </c>
      <c r="P20" s="22">
        <v>20.18</v>
      </c>
      <c r="Q20" s="27">
        <f t="shared" si="1"/>
        <v>0</v>
      </c>
    </row>
    <row r="21" spans="1:17">
      <c r="A21" s="60"/>
      <c r="B21" s="52"/>
      <c r="C21" s="47"/>
      <c r="D21" s="76"/>
      <c r="E21" s="50"/>
      <c r="F21" s="47"/>
      <c r="G21" s="5">
        <v>307777</v>
      </c>
      <c r="H21" s="17">
        <v>13</v>
      </c>
      <c r="I21" s="36">
        <f>14.25/14.19</f>
        <v>1.0042283298097252</v>
      </c>
      <c r="J21" s="26">
        <f>ROUND(14.48*0.9,2)</f>
        <v>13.03</v>
      </c>
      <c r="K21" s="9">
        <f t="shared" si="0"/>
        <v>4010334</v>
      </c>
      <c r="L21" s="47"/>
      <c r="M21" s="22">
        <v>435.6</v>
      </c>
      <c r="N21" s="5">
        <f>ROUNDDOWN(L20*M21*1,0)</f>
        <v>174240</v>
      </c>
      <c r="O21" s="5">
        <v>0</v>
      </c>
      <c r="P21" s="22">
        <v>24.54</v>
      </c>
      <c r="Q21" s="27">
        <f t="shared" si="1"/>
        <v>0</v>
      </c>
    </row>
    <row r="22" spans="1:17">
      <c r="A22" s="60"/>
      <c r="B22" s="52"/>
      <c r="C22" s="47"/>
      <c r="D22" s="76"/>
      <c r="E22" s="51"/>
      <c r="F22" s="47"/>
      <c r="G22" s="5">
        <v>374124</v>
      </c>
      <c r="H22" s="17">
        <v>9.81</v>
      </c>
      <c r="I22" s="36">
        <f>8.93/8.87</f>
        <v>1.0067643742953778</v>
      </c>
      <c r="J22" s="26">
        <f>ROUND(9.06*0.9,2)</f>
        <v>8.15</v>
      </c>
      <c r="K22" s="9">
        <f t="shared" si="0"/>
        <v>3049110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6">
        <v>2046</v>
      </c>
      <c r="E23" s="49">
        <v>0.85</v>
      </c>
      <c r="F23" s="47">
        <f t="shared" ref="F23" si="5">ROUNDDOWN(C23*D23*E23,0)</f>
        <v>2521695</v>
      </c>
      <c r="G23" s="5">
        <v>77787</v>
      </c>
      <c r="H23" s="17">
        <v>13</v>
      </c>
      <c r="I23" s="36">
        <f>16.67/16.61</f>
        <v>1.0036122817579773</v>
      </c>
      <c r="J23" s="26">
        <f>ROUNDDOWN(16.95*0.9,2)</f>
        <v>15.25</v>
      </c>
      <c r="K23" s="9">
        <f>ROUNDDOWN(G23*J23,0)</f>
        <v>1186251</v>
      </c>
      <c r="L23" s="47">
        <v>400</v>
      </c>
      <c r="M23" s="22">
        <v>1425.6</v>
      </c>
      <c r="N23" s="5">
        <v>0</v>
      </c>
      <c r="O23" s="5">
        <v>0</v>
      </c>
      <c r="P23" s="22">
        <v>20.18</v>
      </c>
      <c r="Q23" s="27">
        <f t="shared" si="1"/>
        <v>0</v>
      </c>
    </row>
    <row r="24" spans="1:17">
      <c r="A24" s="60"/>
      <c r="B24" s="52"/>
      <c r="C24" s="47"/>
      <c r="D24" s="76"/>
      <c r="E24" s="50"/>
      <c r="F24" s="47"/>
      <c r="G24" s="5">
        <v>270219</v>
      </c>
      <c r="H24" s="17">
        <v>13</v>
      </c>
      <c r="I24" s="36">
        <f>14.25/14.19</f>
        <v>1.0042283298097252</v>
      </c>
      <c r="J24" s="26">
        <f>ROUND(14.48*0.9,2)</f>
        <v>13.03</v>
      </c>
      <c r="K24" s="9">
        <f t="shared" si="0"/>
        <v>3520953</v>
      </c>
      <c r="L24" s="47"/>
      <c r="M24" s="22">
        <v>435.6</v>
      </c>
      <c r="N24" s="5">
        <f>ROUNDDOWN(L23*M24*1,0)</f>
        <v>174240</v>
      </c>
      <c r="O24" s="5">
        <v>0</v>
      </c>
      <c r="P24" s="22">
        <v>24.54</v>
      </c>
      <c r="Q24" s="27">
        <f t="shared" si="1"/>
        <v>0</v>
      </c>
    </row>
    <row r="25" spans="1:17">
      <c r="A25" s="60"/>
      <c r="B25" s="52"/>
      <c r="C25" s="47"/>
      <c r="D25" s="76"/>
      <c r="E25" s="51"/>
      <c r="F25" s="47"/>
      <c r="G25" s="5">
        <v>347353</v>
      </c>
      <c r="H25" s="17">
        <v>9.81</v>
      </c>
      <c r="I25" s="36">
        <f>8.93/8.87</f>
        <v>1.0067643742953778</v>
      </c>
      <c r="J25" s="26">
        <f>ROUND(9.06*0.9,2)</f>
        <v>8.15</v>
      </c>
      <c r="K25" s="9">
        <f t="shared" si="0"/>
        <v>2830926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6">
        <v>2046</v>
      </c>
      <c r="E26" s="49">
        <v>0.85</v>
      </c>
      <c r="F26" s="47">
        <f t="shared" ref="F26" si="6">ROUNDDOWN(C26*D26*E26,0)</f>
        <v>2521695</v>
      </c>
      <c r="G26" s="5">
        <f>ROUND((H28年度電力A!G26+H29年度電力A!G26+H30年度電力A!G26+H31年度電力A!G26)/4,0)</f>
        <v>0</v>
      </c>
      <c r="H26" s="5"/>
      <c r="I26" s="5"/>
      <c r="J26" s="24"/>
      <c r="K26" s="9">
        <f>ROUNDDOWN(G26*J26,0)</f>
        <v>0</v>
      </c>
      <c r="L26" s="47">
        <v>400</v>
      </c>
      <c r="M26" s="22">
        <v>1425.6</v>
      </c>
      <c r="N26" s="5">
        <v>0</v>
      </c>
      <c r="O26" s="5">
        <v>0</v>
      </c>
      <c r="P26" s="22">
        <v>18.600000000000001</v>
      </c>
      <c r="Q26" s="27">
        <f t="shared" si="1"/>
        <v>0</v>
      </c>
    </row>
    <row r="27" spans="1:17">
      <c r="A27" s="60"/>
      <c r="B27" s="52"/>
      <c r="C27" s="47"/>
      <c r="D27" s="76"/>
      <c r="E27" s="50"/>
      <c r="F27" s="47"/>
      <c r="G27" s="5">
        <v>389652</v>
      </c>
      <c r="H27" s="17">
        <v>12.25</v>
      </c>
      <c r="I27" s="36">
        <f>13.31/13.25</f>
        <v>1.0045283018867925</v>
      </c>
      <c r="J27" s="26">
        <f>ROUND(13.53*0.9,2)</f>
        <v>12.18</v>
      </c>
      <c r="K27" s="9">
        <f t="shared" si="0"/>
        <v>4745961</v>
      </c>
      <c r="L27" s="47"/>
      <c r="M27" s="22">
        <v>435.6</v>
      </c>
      <c r="N27" s="5">
        <f>ROUNDDOWN(L26*M27*1,0)</f>
        <v>174240</v>
      </c>
      <c r="O27" s="5">
        <v>0</v>
      </c>
      <c r="P27" s="22">
        <v>22.55</v>
      </c>
      <c r="Q27" s="27">
        <f t="shared" si="1"/>
        <v>0</v>
      </c>
    </row>
    <row r="28" spans="1:17">
      <c r="A28" s="60"/>
      <c r="B28" s="52"/>
      <c r="C28" s="47"/>
      <c r="D28" s="76"/>
      <c r="E28" s="51"/>
      <c r="F28" s="47"/>
      <c r="G28" s="5">
        <v>242506</v>
      </c>
      <c r="H28" s="17">
        <v>9.81</v>
      </c>
      <c r="I28" s="36">
        <f>8.93/8.87</f>
        <v>1.0067643742953778</v>
      </c>
      <c r="J28" s="26">
        <f>ROUND(9.06*0.9,2)</f>
        <v>8.15</v>
      </c>
      <c r="K28" s="9">
        <f t="shared" si="0"/>
        <v>1976423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6">
        <v>2046</v>
      </c>
      <c r="E29" s="49">
        <v>0.85</v>
      </c>
      <c r="F29" s="47">
        <f t="shared" ref="F29" si="7">ROUNDDOWN(C29*D29*E29,0)</f>
        <v>2521695</v>
      </c>
      <c r="G29" s="5">
        <f>ROUND((H28年度電力A!G29+H29年度電力A!G29+H30年度電力A!G29+H31年度電力A!G29)/4,0)</f>
        <v>0</v>
      </c>
      <c r="H29" s="5"/>
      <c r="I29" s="5"/>
      <c r="J29" s="24"/>
      <c r="K29" s="9">
        <f>ROUNDDOWN(G29*J29,0)</f>
        <v>0</v>
      </c>
      <c r="L29" s="47">
        <v>400</v>
      </c>
      <c r="M29" s="22">
        <v>1425.6</v>
      </c>
      <c r="N29" s="5">
        <v>0</v>
      </c>
      <c r="O29" s="5">
        <v>0</v>
      </c>
      <c r="P29" s="22">
        <v>18.600000000000001</v>
      </c>
      <c r="Q29" s="27">
        <f t="shared" si="1"/>
        <v>0</v>
      </c>
    </row>
    <row r="30" spans="1:17">
      <c r="A30" s="60"/>
      <c r="B30" s="52"/>
      <c r="C30" s="47"/>
      <c r="D30" s="76"/>
      <c r="E30" s="50"/>
      <c r="F30" s="47"/>
      <c r="G30" s="5">
        <v>328908</v>
      </c>
      <c r="H30" s="17">
        <v>12.25</v>
      </c>
      <c r="I30" s="36">
        <f>13.31/13.25</f>
        <v>1.0045283018867925</v>
      </c>
      <c r="J30" s="26">
        <f>ROUND(13.53*0.9,2)</f>
        <v>12.18</v>
      </c>
      <c r="K30" s="9">
        <f t="shared" si="0"/>
        <v>4006099</v>
      </c>
      <c r="L30" s="47"/>
      <c r="M30" s="22">
        <v>435.6</v>
      </c>
      <c r="N30" s="5">
        <f>ROUNDDOWN(L29*M30*1,0)</f>
        <v>174240</v>
      </c>
      <c r="O30" s="5">
        <v>0</v>
      </c>
      <c r="P30" s="22">
        <v>22.55</v>
      </c>
      <c r="Q30" s="27">
        <f t="shared" si="1"/>
        <v>0</v>
      </c>
    </row>
    <row r="31" spans="1:17">
      <c r="A31" s="60"/>
      <c r="B31" s="52"/>
      <c r="C31" s="47"/>
      <c r="D31" s="76"/>
      <c r="E31" s="51"/>
      <c r="F31" s="47"/>
      <c r="G31" s="5">
        <v>218199</v>
      </c>
      <c r="H31" s="17">
        <v>9.81</v>
      </c>
      <c r="I31" s="36">
        <f>8.93/8.87</f>
        <v>1.0067643742953778</v>
      </c>
      <c r="J31" s="26">
        <f>ROUND(9.06*0.9,2)</f>
        <v>8.15</v>
      </c>
      <c r="K31" s="9">
        <f t="shared" si="0"/>
        <v>1778321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6">
        <v>2046</v>
      </c>
      <c r="E32" s="49">
        <v>0.85</v>
      </c>
      <c r="F32" s="47">
        <f t="shared" ref="F32" si="8">ROUNDDOWN(C32*D32*E32,0)</f>
        <v>2521695</v>
      </c>
      <c r="G32" s="5">
        <f>(H28年度電力A!G32+H29年度電力A!G32+H30年度電力A!G32+H31年度電力A!G32)/4</f>
        <v>0</v>
      </c>
      <c r="H32" s="5"/>
      <c r="I32" s="5"/>
      <c r="J32" s="24"/>
      <c r="K32" s="9">
        <f>ROUNDDOWN(G32*J32,0)</f>
        <v>0</v>
      </c>
      <c r="L32" s="47">
        <v>400</v>
      </c>
      <c r="M32" s="22">
        <v>1425.6</v>
      </c>
      <c r="N32" s="5">
        <v>0</v>
      </c>
      <c r="O32" s="5">
        <v>0</v>
      </c>
      <c r="P32" s="22">
        <v>18.600000000000001</v>
      </c>
      <c r="Q32" s="27">
        <f t="shared" si="1"/>
        <v>0</v>
      </c>
    </row>
    <row r="33" spans="1:22">
      <c r="A33" s="60"/>
      <c r="B33" s="52"/>
      <c r="C33" s="47"/>
      <c r="D33" s="76"/>
      <c r="E33" s="50"/>
      <c r="F33" s="47"/>
      <c r="G33" s="5">
        <v>368757</v>
      </c>
      <c r="H33" s="17">
        <v>12.25</v>
      </c>
      <c r="I33" s="36">
        <f>13.31/13.25</f>
        <v>1.0045283018867925</v>
      </c>
      <c r="J33" s="26">
        <f>ROUND(13.53*0.9,2)</f>
        <v>12.18</v>
      </c>
      <c r="K33" s="9">
        <f t="shared" si="0"/>
        <v>4491460</v>
      </c>
      <c r="L33" s="47"/>
      <c r="M33" s="22">
        <v>435.6</v>
      </c>
      <c r="N33" s="5">
        <f>ROUNDDOWN(L32*M33*1,0)</f>
        <v>174240</v>
      </c>
      <c r="O33" s="5">
        <v>0</v>
      </c>
      <c r="P33" s="22">
        <v>22.55</v>
      </c>
      <c r="Q33" s="27">
        <f t="shared" si="1"/>
        <v>0</v>
      </c>
    </row>
    <row r="34" spans="1:22">
      <c r="A34" s="60"/>
      <c r="B34" s="52"/>
      <c r="C34" s="47"/>
      <c r="D34" s="76"/>
      <c r="E34" s="51"/>
      <c r="F34" s="47"/>
      <c r="G34" s="5">
        <v>246179</v>
      </c>
      <c r="H34" s="17">
        <v>9.81</v>
      </c>
      <c r="I34" s="36">
        <f>8.93/8.87</f>
        <v>1.0067643742953778</v>
      </c>
      <c r="J34" s="26">
        <f>ROUND(9.06*0.9,2)</f>
        <v>8.15</v>
      </c>
      <c r="K34" s="9">
        <f t="shared" si="0"/>
        <v>2006358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6">
        <v>2046</v>
      </c>
      <c r="E35" s="49">
        <v>0.85</v>
      </c>
      <c r="F35" s="47">
        <f t="shared" ref="F35" si="9">ROUNDDOWN(C35*D35*E35,0)</f>
        <v>2521695</v>
      </c>
      <c r="G35" s="5">
        <f>ROUND((H28年度電力A!G35+H29年度電力A!G35+H30年度電力A!G35+H31年度電力A!G35)/4,0)</f>
        <v>0</v>
      </c>
      <c r="H35" s="5"/>
      <c r="I35" s="5"/>
      <c r="J35" s="24"/>
      <c r="K35" s="9">
        <f>ROUNDDOWN(G35*J35,0)</f>
        <v>0</v>
      </c>
      <c r="L35" s="47">
        <v>400</v>
      </c>
      <c r="M35" s="22">
        <v>1425.6</v>
      </c>
      <c r="N35" s="5">
        <v>0</v>
      </c>
      <c r="O35" s="5">
        <v>0</v>
      </c>
      <c r="P35" s="22">
        <v>18.600000000000001</v>
      </c>
      <c r="Q35" s="27">
        <f t="shared" si="1"/>
        <v>0</v>
      </c>
    </row>
    <row r="36" spans="1:22">
      <c r="A36" s="60"/>
      <c r="B36" s="52"/>
      <c r="C36" s="47"/>
      <c r="D36" s="76"/>
      <c r="E36" s="50"/>
      <c r="F36" s="47"/>
      <c r="G36" s="5">
        <v>362652</v>
      </c>
      <c r="H36" s="17">
        <v>12.25</v>
      </c>
      <c r="I36" s="36">
        <f>13.31/13.25</f>
        <v>1.0045283018867925</v>
      </c>
      <c r="J36" s="26">
        <f>ROUND(13.53*0.9,2)</f>
        <v>12.18</v>
      </c>
      <c r="K36" s="9">
        <f t="shared" si="0"/>
        <v>4417101</v>
      </c>
      <c r="L36" s="47"/>
      <c r="M36" s="22">
        <v>435.6</v>
      </c>
      <c r="N36" s="5">
        <f>ROUNDDOWN(L35*M36*1,0)</f>
        <v>174240</v>
      </c>
      <c r="O36" s="5">
        <v>0</v>
      </c>
      <c r="P36" s="22">
        <v>22.55</v>
      </c>
      <c r="Q36" s="27">
        <f t="shared" si="1"/>
        <v>0</v>
      </c>
    </row>
    <row r="37" spans="1:22">
      <c r="A37" s="60"/>
      <c r="B37" s="52"/>
      <c r="C37" s="47"/>
      <c r="D37" s="76"/>
      <c r="E37" s="51"/>
      <c r="F37" s="47"/>
      <c r="G37" s="5">
        <v>254791</v>
      </c>
      <c r="H37" s="17">
        <v>9.81</v>
      </c>
      <c r="I37" s="36">
        <f>8.93/8.87</f>
        <v>1.0067643742953778</v>
      </c>
      <c r="J37" s="26">
        <f>ROUND(9.06*0.9,2)</f>
        <v>8.15</v>
      </c>
      <c r="K37" s="9">
        <f t="shared" si="0"/>
        <v>2076546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6">
        <v>2046</v>
      </c>
      <c r="E38" s="49">
        <v>0.85</v>
      </c>
      <c r="F38" s="47">
        <f t="shared" ref="F38" si="10">ROUNDDOWN(C38*D38*E38,0)</f>
        <v>2521695</v>
      </c>
      <c r="G38" s="5">
        <f>ROUND((H28年度電力A!G38+H29年度電力A!G38+H30年度電力A!G38+H31年度電力A!G38)/4,0)</f>
        <v>0</v>
      </c>
      <c r="H38" s="5"/>
      <c r="I38" s="5"/>
      <c r="J38" s="24"/>
      <c r="K38" s="9">
        <f>ROUNDDOWN(G38*J38,0)</f>
        <v>0</v>
      </c>
      <c r="L38" s="47">
        <v>400</v>
      </c>
      <c r="M38" s="22">
        <v>1425.6</v>
      </c>
      <c r="N38" s="5">
        <v>0</v>
      </c>
      <c r="O38" s="5">
        <v>0</v>
      </c>
      <c r="P38" s="22">
        <v>18.600000000000001</v>
      </c>
      <c r="Q38" s="27">
        <f t="shared" si="1"/>
        <v>0</v>
      </c>
    </row>
    <row r="39" spans="1:22">
      <c r="A39" s="60"/>
      <c r="B39" s="52"/>
      <c r="C39" s="47"/>
      <c r="D39" s="76"/>
      <c r="E39" s="50"/>
      <c r="F39" s="47"/>
      <c r="G39" s="5">
        <v>339260</v>
      </c>
      <c r="H39" s="17">
        <v>12.25</v>
      </c>
      <c r="I39" s="36">
        <f>13.31/13.25</f>
        <v>1.0045283018867925</v>
      </c>
      <c r="J39" s="26">
        <f>ROUND(13.53*0.9,2)</f>
        <v>12.18</v>
      </c>
      <c r="K39" s="9">
        <f t="shared" si="0"/>
        <v>4132186</v>
      </c>
      <c r="L39" s="47"/>
      <c r="M39" s="22">
        <v>435.6</v>
      </c>
      <c r="N39" s="5">
        <f>ROUNDDOWN(L38*M39*1,0)</f>
        <v>174240</v>
      </c>
      <c r="O39" s="5">
        <v>0</v>
      </c>
      <c r="P39" s="22">
        <v>22.55</v>
      </c>
      <c r="Q39" s="27">
        <f t="shared" si="1"/>
        <v>0</v>
      </c>
    </row>
    <row r="40" spans="1:22">
      <c r="A40" s="60"/>
      <c r="B40" s="52"/>
      <c r="C40" s="47"/>
      <c r="D40" s="76"/>
      <c r="E40" s="51"/>
      <c r="F40" s="47"/>
      <c r="G40" s="5">
        <v>233296</v>
      </c>
      <c r="H40" s="17">
        <v>9.81</v>
      </c>
      <c r="I40" s="36">
        <f>8.93/8.87</f>
        <v>1.0067643742953778</v>
      </c>
      <c r="J40" s="26">
        <f>ROUND(9.06*0.9,2)</f>
        <v>8.15</v>
      </c>
      <c r="K40" s="9">
        <f t="shared" si="0"/>
        <v>1901362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6">
        <v>2046</v>
      </c>
      <c r="E41" s="49">
        <v>0.85</v>
      </c>
      <c r="F41" s="47">
        <f t="shared" ref="F41" si="11">ROUNDDOWN(C41*D41*E41,0)</f>
        <v>2521695</v>
      </c>
      <c r="G41" s="5">
        <f>ROUND((H28年度電力A!G41+H29年度電力A!G41+H30年度電力A!G41+H31年度電力A!G41)/4,0)</f>
        <v>0</v>
      </c>
      <c r="H41" s="5"/>
      <c r="I41" s="5"/>
      <c r="J41" s="24"/>
      <c r="K41" s="9">
        <f>ROUNDDOWN(G41*J41,0)</f>
        <v>0</v>
      </c>
      <c r="L41" s="47">
        <v>400</v>
      </c>
      <c r="M41" s="22">
        <v>1425.6</v>
      </c>
      <c r="N41" s="5">
        <v>0</v>
      </c>
      <c r="O41" s="5">
        <v>0</v>
      </c>
      <c r="P41" s="22">
        <v>18.600000000000001</v>
      </c>
      <c r="Q41" s="27">
        <f t="shared" si="1"/>
        <v>0</v>
      </c>
    </row>
    <row r="42" spans="1:22">
      <c r="A42" s="60"/>
      <c r="B42" s="52"/>
      <c r="C42" s="47"/>
      <c r="D42" s="76"/>
      <c r="E42" s="50"/>
      <c r="F42" s="47"/>
      <c r="G42" s="5">
        <v>355394</v>
      </c>
      <c r="H42" s="17">
        <v>12.25</v>
      </c>
      <c r="I42" s="36">
        <f>13.31/13.25</f>
        <v>1.0045283018867925</v>
      </c>
      <c r="J42" s="26">
        <f>ROUND(13.53*0.9,2)</f>
        <v>12.18</v>
      </c>
      <c r="K42" s="9">
        <f t="shared" si="0"/>
        <v>4328698</v>
      </c>
      <c r="L42" s="47"/>
      <c r="M42" s="22">
        <v>435.6</v>
      </c>
      <c r="N42" s="5">
        <f>ROUNDDOWN(L41*M42*1,0)</f>
        <v>174240</v>
      </c>
      <c r="O42" s="5">
        <v>0</v>
      </c>
      <c r="P42" s="22">
        <v>22.55</v>
      </c>
      <c r="Q42" s="27">
        <f t="shared" si="1"/>
        <v>0</v>
      </c>
    </row>
    <row r="43" spans="1:22">
      <c r="A43" s="61"/>
      <c r="B43" s="52"/>
      <c r="C43" s="47"/>
      <c r="D43" s="76"/>
      <c r="E43" s="51"/>
      <c r="F43" s="47"/>
      <c r="G43" s="5">
        <v>239179</v>
      </c>
      <c r="H43" s="17">
        <v>9.81</v>
      </c>
      <c r="I43" s="36">
        <f>8.93/8.87</f>
        <v>1.0067643742953778</v>
      </c>
      <c r="J43" s="26">
        <f>ROUND(9.06*0.9,2)</f>
        <v>8.15</v>
      </c>
      <c r="K43" s="9">
        <f t="shared" si="0"/>
        <v>1949308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30260340</v>
      </c>
      <c r="G44" s="5">
        <f>SUM(G8:G43)</f>
        <v>7658021</v>
      </c>
      <c r="H44" s="5"/>
      <c r="I44" s="5"/>
      <c r="J44" s="19"/>
      <c r="K44" s="9">
        <f>SUM(K8:K43)</f>
        <v>81535186</v>
      </c>
      <c r="L44" s="6"/>
      <c r="M44" s="29"/>
      <c r="N44" s="27">
        <f>SUM(N8:N43)</f>
        <v>2090880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75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113886406</v>
      </c>
      <c r="Q45" s="92"/>
      <c r="S45" s="100"/>
      <c r="T45" s="100"/>
      <c r="U45" s="101"/>
      <c r="V45" s="102"/>
    </row>
    <row r="46" spans="1:22" ht="13.5" customHeight="1">
      <c r="A46" s="90" t="s">
        <v>79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103533097</v>
      </c>
      <c r="Q46" s="92"/>
    </row>
    <row r="47" spans="1:22" ht="17.25" customHeight="1" thickBot="1">
      <c r="A47" s="90" t="s">
        <v>74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93" t="s">
        <v>77</v>
      </c>
      <c r="O47" s="93"/>
      <c r="P47" s="94">
        <f>ROUNDDOWN(P46*3,0)</f>
        <v>310599291</v>
      </c>
      <c r="Q47" s="94"/>
    </row>
    <row r="48" spans="1:22" s="12" customFormat="1" ht="17.25" customHeight="1" thickBot="1">
      <c r="A48" s="90" t="s">
        <v>80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 s="95" t="s">
        <v>76</v>
      </c>
      <c r="O48" s="96"/>
      <c r="P48" s="97">
        <f>ROUNDDOWN(P47*1.1,0)</f>
        <v>341659220</v>
      </c>
      <c r="Q48" s="98"/>
    </row>
    <row r="49" spans="1:13" s="12" customFormat="1" ht="17.25" customHeight="1">
      <c r="A49" s="90" t="s">
        <v>81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</row>
    <row r="50" spans="1:13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8">
    <mergeCell ref="A49:L49"/>
    <mergeCell ref="F41:F43"/>
    <mergeCell ref="L41:L43"/>
    <mergeCell ref="A44:B44"/>
    <mergeCell ref="A45:L45"/>
    <mergeCell ref="N45:O45"/>
    <mergeCell ref="B41:B43"/>
    <mergeCell ref="C41:C43"/>
    <mergeCell ref="D41:D43"/>
    <mergeCell ref="E41:E43"/>
    <mergeCell ref="A8:A43"/>
    <mergeCell ref="A46:L46"/>
    <mergeCell ref="N46:O46"/>
    <mergeCell ref="A47:L47"/>
    <mergeCell ref="A48:L48"/>
    <mergeCell ref="L35:L37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I5:I6"/>
    <mergeCell ref="K5:K6"/>
    <mergeCell ref="L5:L6"/>
    <mergeCell ref="S45:T45"/>
    <mergeCell ref="U45:V45"/>
    <mergeCell ref="P45:Q45"/>
    <mergeCell ref="B11:B13"/>
    <mergeCell ref="C11:C13"/>
    <mergeCell ref="D11:D13"/>
    <mergeCell ref="E11:E13"/>
    <mergeCell ref="F11:F13"/>
    <mergeCell ref="L11:L13"/>
    <mergeCell ref="E8:E10"/>
    <mergeCell ref="F8:F10"/>
    <mergeCell ref="L8:L10"/>
    <mergeCell ref="B17:B19"/>
    <mergeCell ref="C17:C19"/>
    <mergeCell ref="D17:D19"/>
    <mergeCell ref="E17:E19"/>
    <mergeCell ref="F17:F19"/>
    <mergeCell ref="L17:L19"/>
    <mergeCell ref="B14:B16"/>
    <mergeCell ref="C14:C16"/>
    <mergeCell ref="D14:D16"/>
    <mergeCell ref="P46:Q46"/>
    <mergeCell ref="N47:O47"/>
    <mergeCell ref="P47:Q47"/>
    <mergeCell ref="N48:O48"/>
    <mergeCell ref="P48:Q48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  <mergeCell ref="B8:B10"/>
    <mergeCell ref="C8:C10"/>
    <mergeCell ref="D8:D10"/>
    <mergeCell ref="E5:E6"/>
    <mergeCell ref="F5:F6"/>
    <mergeCell ref="H5:H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58"/>
  <sheetViews>
    <sheetView view="pageBreakPreview" zoomScaleNormal="100" zoomScaleSheetLayoutView="100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P23" sqref="P23:P24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85</v>
      </c>
      <c r="O5" s="4" t="s">
        <v>5</v>
      </c>
      <c r="P5" s="43" t="s">
        <v>71</v>
      </c>
      <c r="Q5" s="52" t="s">
        <v>28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87</v>
      </c>
      <c r="B8" s="52" t="s">
        <v>23</v>
      </c>
      <c r="C8" s="47">
        <v>1450</v>
      </c>
      <c r="D8" s="76">
        <v>2046</v>
      </c>
      <c r="E8" s="49">
        <v>0.85</v>
      </c>
      <c r="F8" s="47">
        <f>ROUNDDOWN(C8*D8*E8,0)</f>
        <v>2521695</v>
      </c>
      <c r="G8" s="5"/>
      <c r="H8" s="5"/>
      <c r="I8" s="5"/>
      <c r="J8" s="24"/>
      <c r="K8" s="9">
        <f>ROUNDDOWN(G8*J8,0)</f>
        <v>0</v>
      </c>
      <c r="L8" s="47">
        <v>400</v>
      </c>
      <c r="M8" s="22"/>
      <c r="N8" s="5">
        <v>0</v>
      </c>
      <c r="O8" s="5">
        <v>0</v>
      </c>
      <c r="P8" s="22">
        <v>15.85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323991</v>
      </c>
      <c r="H9" s="17">
        <v>12.25</v>
      </c>
      <c r="I9" s="36">
        <f>13.31/13.25</f>
        <v>1.0045283018867925</v>
      </c>
      <c r="J9" s="26">
        <v>13.53</v>
      </c>
      <c r="K9" s="9">
        <f t="shared" ref="K9:K43" si="0">ROUNDDOWN(G9*J9,0)</f>
        <v>4383598</v>
      </c>
      <c r="L9" s="47"/>
      <c r="M9" s="22">
        <v>723.79</v>
      </c>
      <c r="N9" s="5">
        <f>ROUNDDOWN(L8*M9*1,0)</f>
        <v>289516</v>
      </c>
      <c r="O9" s="5">
        <v>0</v>
      </c>
      <c r="P9" s="22">
        <v>18.41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198575</v>
      </c>
      <c r="H10" s="17">
        <v>9.81</v>
      </c>
      <c r="I10" s="36">
        <f>8.93/8.87</f>
        <v>1.0067643742953778</v>
      </c>
      <c r="J10" s="26">
        <v>9.06</v>
      </c>
      <c r="K10" s="9">
        <f t="shared" si="0"/>
        <v>1799089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2046</v>
      </c>
      <c r="E11" s="49">
        <v>0.85</v>
      </c>
      <c r="F11" s="47">
        <f>ROUNDDOWN(C11*D11*E11,0)</f>
        <v>2521695</v>
      </c>
      <c r="G11" s="5">
        <v>0</v>
      </c>
      <c r="H11" s="5"/>
      <c r="I11" s="5"/>
      <c r="J11" s="24"/>
      <c r="K11" s="9">
        <f>ROUNDDOWN(G11*J11,0)</f>
        <v>0</v>
      </c>
      <c r="L11" s="47">
        <v>400</v>
      </c>
      <c r="M11" s="22"/>
      <c r="N11" s="5">
        <v>0</v>
      </c>
      <c r="O11" s="5">
        <v>0</v>
      </c>
      <c r="P11" s="22">
        <v>15.85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359218</v>
      </c>
      <c r="H12" s="17">
        <v>12.25</v>
      </c>
      <c r="I12" s="36">
        <f>13.31/13.25</f>
        <v>1.0045283018867925</v>
      </c>
      <c r="J12" s="26">
        <v>13.53</v>
      </c>
      <c r="K12" s="9">
        <f t="shared" si="0"/>
        <v>4860219</v>
      </c>
      <c r="L12" s="47"/>
      <c r="M12" s="22">
        <v>723.79</v>
      </c>
      <c r="N12" s="5">
        <f>ROUNDDOWN(L11*M12*1,0)</f>
        <v>289516</v>
      </c>
      <c r="O12" s="5">
        <v>0</v>
      </c>
      <c r="P12" s="22">
        <v>18.41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220166</v>
      </c>
      <c r="H13" s="17">
        <v>9.81</v>
      </c>
      <c r="I13" s="36">
        <f>8.93/8.87</f>
        <v>1.0067643742953778</v>
      </c>
      <c r="J13" s="26">
        <v>9.06</v>
      </c>
      <c r="K13" s="9">
        <f t="shared" si="0"/>
        <v>1994703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6">
        <v>2046</v>
      </c>
      <c r="E14" s="49">
        <v>0.85</v>
      </c>
      <c r="F14" s="47">
        <f t="shared" ref="F14" si="2">ROUNDDOWN(C14*D14*E14,0)</f>
        <v>2521695</v>
      </c>
      <c r="G14" s="5">
        <v>0</v>
      </c>
      <c r="H14" s="5"/>
      <c r="I14" s="5"/>
      <c r="J14" s="24"/>
      <c r="K14" s="9">
        <f>ROUNDDOWN(G14*J14,0)</f>
        <v>0</v>
      </c>
      <c r="L14" s="47">
        <v>400</v>
      </c>
      <c r="M14" s="22"/>
      <c r="N14" s="5">
        <v>0</v>
      </c>
      <c r="O14" s="5">
        <v>0</v>
      </c>
      <c r="P14" s="22">
        <v>15.85</v>
      </c>
      <c r="Q14" s="27">
        <f t="shared" si="1"/>
        <v>0</v>
      </c>
    </row>
    <row r="15" spans="1:17">
      <c r="A15" s="60"/>
      <c r="B15" s="52"/>
      <c r="C15" s="47"/>
      <c r="D15" s="76"/>
      <c r="E15" s="50"/>
      <c r="F15" s="47"/>
      <c r="G15" s="5">
        <v>409270</v>
      </c>
      <c r="H15" s="17">
        <v>12.25</v>
      </c>
      <c r="I15" s="36">
        <f>13.31/13.25</f>
        <v>1.0045283018867925</v>
      </c>
      <c r="J15" s="26">
        <v>13.53</v>
      </c>
      <c r="K15" s="9">
        <f t="shared" si="0"/>
        <v>5537423</v>
      </c>
      <c r="L15" s="47"/>
      <c r="M15" s="22">
        <v>723.79</v>
      </c>
      <c r="N15" s="5">
        <f>ROUNDDOWN(L14*M15*1,0)</f>
        <v>289516</v>
      </c>
      <c r="O15" s="5">
        <v>0</v>
      </c>
      <c r="P15" s="22">
        <v>18.41</v>
      </c>
      <c r="Q15" s="27">
        <f t="shared" si="1"/>
        <v>0</v>
      </c>
    </row>
    <row r="16" spans="1:17">
      <c r="A16" s="60"/>
      <c r="B16" s="52"/>
      <c r="C16" s="47"/>
      <c r="D16" s="76"/>
      <c r="E16" s="51"/>
      <c r="F16" s="47"/>
      <c r="G16" s="5">
        <v>250843</v>
      </c>
      <c r="H16" s="17">
        <v>9.81</v>
      </c>
      <c r="I16" s="36">
        <f>8.93/8.87</f>
        <v>1.0067643742953778</v>
      </c>
      <c r="J16" s="26">
        <v>9.06</v>
      </c>
      <c r="K16" s="9">
        <f t="shared" si="0"/>
        <v>2272637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6">
        <v>2046</v>
      </c>
      <c r="E17" s="49">
        <v>0.85</v>
      </c>
      <c r="F17" s="47">
        <f t="shared" ref="F17" si="3">ROUNDDOWN(C17*D17*E17,0)</f>
        <v>2521695</v>
      </c>
      <c r="G17" s="5">
        <v>80921</v>
      </c>
      <c r="H17" s="17">
        <v>13</v>
      </c>
      <c r="I17" s="36">
        <f>16.67/16.61</f>
        <v>1.0036122817579773</v>
      </c>
      <c r="J17" s="26">
        <v>16.95</v>
      </c>
      <c r="K17" s="9">
        <f>ROUNDDOWN(G17*J17,0)</f>
        <v>1371610</v>
      </c>
      <c r="L17" s="47">
        <v>400</v>
      </c>
      <c r="M17" s="22"/>
      <c r="N17" s="5">
        <v>0</v>
      </c>
      <c r="O17" s="5">
        <v>0</v>
      </c>
      <c r="P17" s="22">
        <v>16.87</v>
      </c>
      <c r="Q17" s="27">
        <f t="shared" si="1"/>
        <v>0</v>
      </c>
    </row>
    <row r="18" spans="1:17">
      <c r="A18" s="60"/>
      <c r="B18" s="52"/>
      <c r="C18" s="47"/>
      <c r="D18" s="76"/>
      <c r="E18" s="50"/>
      <c r="F18" s="47"/>
      <c r="G18" s="5">
        <v>385518</v>
      </c>
      <c r="H18" s="17">
        <v>13</v>
      </c>
      <c r="I18" s="36">
        <f>14.25/14.19</f>
        <v>1.0042283298097252</v>
      </c>
      <c r="J18" s="26">
        <v>14.48</v>
      </c>
      <c r="K18" s="9">
        <f>ROUNDDOWN(G18*J18,0)</f>
        <v>5582300</v>
      </c>
      <c r="L18" s="47"/>
      <c r="M18" s="22">
        <v>723.79</v>
      </c>
      <c r="N18" s="5">
        <f>ROUNDDOWN(L17*M18*1,0)</f>
        <v>289516</v>
      </c>
      <c r="O18" s="5">
        <v>0</v>
      </c>
      <c r="P18" s="22">
        <v>19.71</v>
      </c>
      <c r="Q18" s="27">
        <f t="shared" si="1"/>
        <v>0</v>
      </c>
    </row>
    <row r="19" spans="1:17">
      <c r="A19" s="60"/>
      <c r="B19" s="52"/>
      <c r="C19" s="47"/>
      <c r="D19" s="76"/>
      <c r="E19" s="51"/>
      <c r="F19" s="47"/>
      <c r="G19" s="5">
        <v>285882</v>
      </c>
      <c r="H19" s="17">
        <v>9.81</v>
      </c>
      <c r="I19" s="36">
        <f>8.93/8.87</f>
        <v>1.0067643742953778</v>
      </c>
      <c r="J19" s="26">
        <v>9.06</v>
      </c>
      <c r="K19" s="9">
        <f t="shared" si="0"/>
        <v>2590090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6">
        <v>2046</v>
      </c>
      <c r="E20" s="49">
        <v>0.85</v>
      </c>
      <c r="F20" s="47">
        <f t="shared" ref="F20" si="4">ROUNDDOWN(C20*D20*E20,0)</f>
        <v>2521695</v>
      </c>
      <c r="G20" s="5">
        <v>81422</v>
      </c>
      <c r="H20" s="17">
        <v>13</v>
      </c>
      <c r="I20" s="36">
        <f>16.67/16.61</f>
        <v>1.0036122817579773</v>
      </c>
      <c r="J20" s="26">
        <v>16.95</v>
      </c>
      <c r="K20" s="9">
        <f>ROUNDDOWN(G20*J20,0)</f>
        <v>1380102</v>
      </c>
      <c r="L20" s="47">
        <v>400</v>
      </c>
      <c r="M20" s="22"/>
      <c r="N20" s="5">
        <v>0</v>
      </c>
      <c r="O20" s="5">
        <v>0</v>
      </c>
      <c r="P20" s="22">
        <v>16.87</v>
      </c>
      <c r="Q20" s="27">
        <f t="shared" si="1"/>
        <v>0</v>
      </c>
    </row>
    <row r="21" spans="1:17">
      <c r="A21" s="60"/>
      <c r="B21" s="52"/>
      <c r="C21" s="47"/>
      <c r="D21" s="76"/>
      <c r="E21" s="50"/>
      <c r="F21" s="47"/>
      <c r="G21" s="5">
        <v>387761</v>
      </c>
      <c r="H21" s="17">
        <v>13</v>
      </c>
      <c r="I21" s="36">
        <f>14.25/14.19</f>
        <v>1.0042283298097252</v>
      </c>
      <c r="J21" s="26">
        <v>14.48</v>
      </c>
      <c r="K21" s="9">
        <f t="shared" si="0"/>
        <v>5614779</v>
      </c>
      <c r="L21" s="47"/>
      <c r="M21" s="22">
        <v>723.79</v>
      </c>
      <c r="N21" s="5">
        <f>ROUNDDOWN(L20*M21*1,0)</f>
        <v>289516</v>
      </c>
      <c r="O21" s="5">
        <v>0</v>
      </c>
      <c r="P21" s="22">
        <v>19.71</v>
      </c>
      <c r="Q21" s="27">
        <f t="shared" si="1"/>
        <v>0</v>
      </c>
    </row>
    <row r="22" spans="1:17">
      <c r="A22" s="60"/>
      <c r="B22" s="52"/>
      <c r="C22" s="47"/>
      <c r="D22" s="76"/>
      <c r="E22" s="51"/>
      <c r="F22" s="47"/>
      <c r="G22" s="5">
        <v>287563</v>
      </c>
      <c r="H22" s="17">
        <v>9.81</v>
      </c>
      <c r="I22" s="36">
        <f>8.93/8.87</f>
        <v>1.0067643742953778</v>
      </c>
      <c r="J22" s="26">
        <v>9.06</v>
      </c>
      <c r="K22" s="9">
        <f t="shared" si="0"/>
        <v>2605320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6">
        <v>2046</v>
      </c>
      <c r="E23" s="49">
        <v>0.85</v>
      </c>
      <c r="F23" s="47">
        <f t="shared" ref="F23" si="5">ROUNDDOWN(C23*D23*E23,0)</f>
        <v>2521695</v>
      </c>
      <c r="G23" s="5">
        <v>81628</v>
      </c>
      <c r="H23" s="17">
        <v>13</v>
      </c>
      <c r="I23" s="36">
        <f>16.67/16.61</f>
        <v>1.0036122817579773</v>
      </c>
      <c r="J23" s="26">
        <v>16.95</v>
      </c>
      <c r="K23" s="9">
        <f>ROUNDDOWN(G23*J23,0)</f>
        <v>1383594</v>
      </c>
      <c r="L23" s="47">
        <v>400</v>
      </c>
      <c r="M23" s="22"/>
      <c r="N23" s="5">
        <v>0</v>
      </c>
      <c r="O23" s="5">
        <v>0</v>
      </c>
      <c r="P23" s="22">
        <v>16.87</v>
      </c>
      <c r="Q23" s="27">
        <f t="shared" si="1"/>
        <v>0</v>
      </c>
    </row>
    <row r="24" spans="1:17">
      <c r="A24" s="60"/>
      <c r="B24" s="52"/>
      <c r="C24" s="47"/>
      <c r="D24" s="76"/>
      <c r="E24" s="50"/>
      <c r="F24" s="47"/>
      <c r="G24" s="5">
        <v>356008</v>
      </c>
      <c r="H24" s="17">
        <v>13</v>
      </c>
      <c r="I24" s="36">
        <f>14.25/14.19</f>
        <v>1.0042283298097252</v>
      </c>
      <c r="J24" s="26">
        <v>14.48</v>
      </c>
      <c r="K24" s="9">
        <f t="shared" si="0"/>
        <v>5154995</v>
      </c>
      <c r="L24" s="47"/>
      <c r="M24" s="22">
        <v>723.79</v>
      </c>
      <c r="N24" s="5">
        <f>ROUNDDOWN(L23*M24*1,0)</f>
        <v>289516</v>
      </c>
      <c r="O24" s="5">
        <v>0</v>
      </c>
      <c r="P24" s="22">
        <v>19.71</v>
      </c>
      <c r="Q24" s="27">
        <f t="shared" si="1"/>
        <v>0</v>
      </c>
    </row>
    <row r="25" spans="1:17">
      <c r="A25" s="60"/>
      <c r="B25" s="52"/>
      <c r="C25" s="47"/>
      <c r="D25" s="76"/>
      <c r="E25" s="51"/>
      <c r="F25" s="47"/>
      <c r="G25" s="5">
        <v>268228</v>
      </c>
      <c r="H25" s="17">
        <v>9.81</v>
      </c>
      <c r="I25" s="36">
        <f>8.93/8.87</f>
        <v>1.0067643742953778</v>
      </c>
      <c r="J25" s="26">
        <v>9.06</v>
      </c>
      <c r="K25" s="9">
        <f t="shared" si="0"/>
        <v>2430145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6">
        <v>2046</v>
      </c>
      <c r="E26" s="49">
        <v>0.85</v>
      </c>
      <c r="F26" s="47">
        <f t="shared" ref="F26" si="6">ROUNDDOWN(C26*D26*E26,0)</f>
        <v>2521695</v>
      </c>
      <c r="G26" s="5">
        <v>0</v>
      </c>
      <c r="H26" s="5"/>
      <c r="I26" s="5"/>
      <c r="J26" s="24"/>
      <c r="K26" s="9">
        <f>ROUNDDOWN(G26*J26,0)</f>
        <v>0</v>
      </c>
      <c r="L26" s="47">
        <v>400</v>
      </c>
      <c r="M26" s="22"/>
      <c r="N26" s="5">
        <v>0</v>
      </c>
      <c r="O26" s="5">
        <v>0</v>
      </c>
      <c r="P26" s="22">
        <v>15.85</v>
      </c>
      <c r="Q26" s="27">
        <f t="shared" si="1"/>
        <v>0</v>
      </c>
    </row>
    <row r="27" spans="1:17">
      <c r="A27" s="60"/>
      <c r="B27" s="52"/>
      <c r="C27" s="47"/>
      <c r="D27" s="76"/>
      <c r="E27" s="50"/>
      <c r="F27" s="47"/>
      <c r="G27" s="5">
        <v>369643</v>
      </c>
      <c r="H27" s="17">
        <v>12.25</v>
      </c>
      <c r="I27" s="36">
        <f>13.31/13.25</f>
        <v>1.0045283018867925</v>
      </c>
      <c r="J27" s="26">
        <v>13.53</v>
      </c>
      <c r="K27" s="9">
        <f t="shared" si="0"/>
        <v>5001269</v>
      </c>
      <c r="L27" s="47"/>
      <c r="M27" s="22">
        <v>723.79</v>
      </c>
      <c r="N27" s="5">
        <f>ROUNDDOWN(L26*M27*1,0)</f>
        <v>289516</v>
      </c>
      <c r="O27" s="5">
        <v>0</v>
      </c>
      <c r="P27" s="22">
        <v>18.41</v>
      </c>
      <c r="Q27" s="27">
        <f t="shared" si="1"/>
        <v>0</v>
      </c>
    </row>
    <row r="28" spans="1:17">
      <c r="A28" s="60"/>
      <c r="B28" s="52"/>
      <c r="C28" s="47"/>
      <c r="D28" s="76"/>
      <c r="E28" s="51"/>
      <c r="F28" s="47"/>
      <c r="G28" s="5">
        <v>226555</v>
      </c>
      <c r="H28" s="17">
        <v>9.81</v>
      </c>
      <c r="I28" s="36">
        <f>8.93/8.87</f>
        <v>1.0067643742953778</v>
      </c>
      <c r="J28" s="26">
        <v>9.06</v>
      </c>
      <c r="K28" s="9">
        <f t="shared" si="0"/>
        <v>2052588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6">
        <v>2046</v>
      </c>
      <c r="E29" s="49">
        <v>0.85</v>
      </c>
      <c r="F29" s="47">
        <f t="shared" ref="F29" si="7">ROUNDDOWN(C29*D29*E29,0)</f>
        <v>2521695</v>
      </c>
      <c r="G29" s="5">
        <v>0</v>
      </c>
      <c r="H29" s="5"/>
      <c r="I29" s="5"/>
      <c r="J29" s="24"/>
      <c r="K29" s="9">
        <f>ROUNDDOWN(G29*J29,0)</f>
        <v>0</v>
      </c>
      <c r="L29" s="47">
        <v>400</v>
      </c>
      <c r="M29" s="22"/>
      <c r="N29" s="5">
        <v>0</v>
      </c>
      <c r="O29" s="5">
        <v>0</v>
      </c>
      <c r="P29" s="22">
        <v>15.85</v>
      </c>
      <c r="Q29" s="27">
        <f t="shared" si="1"/>
        <v>0</v>
      </c>
    </row>
    <row r="30" spans="1:17">
      <c r="A30" s="60"/>
      <c r="B30" s="52"/>
      <c r="C30" s="47"/>
      <c r="D30" s="76"/>
      <c r="E30" s="50"/>
      <c r="F30" s="47"/>
      <c r="G30" s="5">
        <v>329275</v>
      </c>
      <c r="H30" s="17">
        <v>12.25</v>
      </c>
      <c r="I30" s="36">
        <f>13.31/13.25</f>
        <v>1.0045283018867925</v>
      </c>
      <c r="J30" s="26">
        <v>13.53</v>
      </c>
      <c r="K30" s="9">
        <f t="shared" si="0"/>
        <v>4455090</v>
      </c>
      <c r="L30" s="47"/>
      <c r="M30" s="22">
        <v>723.79</v>
      </c>
      <c r="N30" s="5">
        <f>ROUNDDOWN(L29*M30*1,0)</f>
        <v>289516</v>
      </c>
      <c r="O30" s="5">
        <v>0</v>
      </c>
      <c r="P30" s="22">
        <v>18.41</v>
      </c>
      <c r="Q30" s="27">
        <f t="shared" si="1"/>
        <v>0</v>
      </c>
    </row>
    <row r="31" spans="1:17">
      <c r="A31" s="60"/>
      <c r="B31" s="52"/>
      <c r="C31" s="47"/>
      <c r="D31" s="76"/>
      <c r="E31" s="51"/>
      <c r="F31" s="47"/>
      <c r="G31" s="5">
        <v>201814</v>
      </c>
      <c r="H31" s="17">
        <v>9.81</v>
      </c>
      <c r="I31" s="36">
        <f>8.93/8.87</f>
        <v>1.0067643742953778</v>
      </c>
      <c r="J31" s="26">
        <v>9.06</v>
      </c>
      <c r="K31" s="9">
        <f t="shared" si="0"/>
        <v>1828434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6">
        <v>2046</v>
      </c>
      <c r="E32" s="49">
        <v>0.85</v>
      </c>
      <c r="F32" s="47">
        <f t="shared" ref="F32" si="8">ROUNDDOWN(C32*D32*E32,0)</f>
        <v>2521695</v>
      </c>
      <c r="G32" s="5">
        <v>0</v>
      </c>
      <c r="H32" s="5"/>
      <c r="I32" s="5"/>
      <c r="J32" s="24"/>
      <c r="K32" s="9">
        <f>ROUNDDOWN(G32*J32,0)</f>
        <v>0</v>
      </c>
      <c r="L32" s="47">
        <v>400</v>
      </c>
      <c r="M32" s="22"/>
      <c r="N32" s="5">
        <v>0</v>
      </c>
      <c r="O32" s="5">
        <v>0</v>
      </c>
      <c r="P32" s="22">
        <v>15.85</v>
      </c>
      <c r="Q32" s="27">
        <f t="shared" si="1"/>
        <v>0</v>
      </c>
    </row>
    <row r="33" spans="1:22">
      <c r="A33" s="60"/>
      <c r="B33" s="52"/>
      <c r="C33" s="47"/>
      <c r="D33" s="76"/>
      <c r="E33" s="50"/>
      <c r="F33" s="47"/>
      <c r="G33" s="5">
        <v>367452</v>
      </c>
      <c r="H33" s="17">
        <v>12.25</v>
      </c>
      <c r="I33" s="36">
        <f>13.31/13.25</f>
        <v>1.0045283018867925</v>
      </c>
      <c r="J33" s="26">
        <v>13.53</v>
      </c>
      <c r="K33" s="9">
        <f t="shared" si="0"/>
        <v>4971625</v>
      </c>
      <c r="L33" s="47"/>
      <c r="M33" s="22">
        <v>723.79</v>
      </c>
      <c r="N33" s="5">
        <f>ROUNDDOWN(L32*M33*1,0)</f>
        <v>289516</v>
      </c>
      <c r="O33" s="5">
        <v>0</v>
      </c>
      <c r="P33" s="22">
        <v>18.41</v>
      </c>
      <c r="Q33" s="27">
        <f t="shared" si="1"/>
        <v>0</v>
      </c>
    </row>
    <row r="34" spans="1:22">
      <c r="A34" s="60"/>
      <c r="B34" s="52"/>
      <c r="C34" s="47"/>
      <c r="D34" s="76"/>
      <c r="E34" s="51"/>
      <c r="F34" s="47"/>
      <c r="G34" s="5">
        <v>225212</v>
      </c>
      <c r="H34" s="17">
        <v>9.81</v>
      </c>
      <c r="I34" s="36">
        <f>8.93/8.87</f>
        <v>1.0067643742953778</v>
      </c>
      <c r="J34" s="26">
        <v>9.06</v>
      </c>
      <c r="K34" s="9">
        <f t="shared" si="0"/>
        <v>2040420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6">
        <v>2046</v>
      </c>
      <c r="E35" s="49">
        <v>0.85</v>
      </c>
      <c r="F35" s="47">
        <f t="shared" ref="F35" si="9">ROUNDDOWN(C35*D35*E35,0)</f>
        <v>2521695</v>
      </c>
      <c r="G35" s="5">
        <v>0</v>
      </c>
      <c r="H35" s="5"/>
      <c r="I35" s="5"/>
      <c r="J35" s="24"/>
      <c r="K35" s="9">
        <f>ROUNDDOWN(G35*J35,0)</f>
        <v>0</v>
      </c>
      <c r="L35" s="47">
        <v>400</v>
      </c>
      <c r="M35" s="22"/>
      <c r="N35" s="5">
        <v>0</v>
      </c>
      <c r="O35" s="5">
        <v>0</v>
      </c>
      <c r="P35" s="22">
        <v>15.85</v>
      </c>
      <c r="Q35" s="27">
        <f t="shared" si="1"/>
        <v>0</v>
      </c>
    </row>
    <row r="36" spans="1:22">
      <c r="A36" s="60"/>
      <c r="B36" s="52"/>
      <c r="C36" s="47"/>
      <c r="D36" s="76"/>
      <c r="E36" s="50"/>
      <c r="F36" s="47"/>
      <c r="G36" s="5">
        <v>374076</v>
      </c>
      <c r="H36" s="17">
        <v>12.25</v>
      </c>
      <c r="I36" s="36">
        <f>13.31/13.25</f>
        <v>1.0045283018867925</v>
      </c>
      <c r="J36" s="26">
        <v>13.53</v>
      </c>
      <c r="K36" s="9">
        <f t="shared" si="0"/>
        <v>5061248</v>
      </c>
      <c r="L36" s="47"/>
      <c r="M36" s="22">
        <v>723.79</v>
      </c>
      <c r="N36" s="5">
        <f>ROUNDDOWN(L35*M36*1,0)</f>
        <v>289516</v>
      </c>
      <c r="O36" s="5">
        <v>0</v>
      </c>
      <c r="P36" s="22">
        <v>18.41</v>
      </c>
      <c r="Q36" s="27">
        <f t="shared" si="1"/>
        <v>0</v>
      </c>
    </row>
    <row r="37" spans="1:22">
      <c r="A37" s="60"/>
      <c r="B37" s="52"/>
      <c r="C37" s="47"/>
      <c r="D37" s="76"/>
      <c r="E37" s="51"/>
      <c r="F37" s="47"/>
      <c r="G37" s="5">
        <v>229272</v>
      </c>
      <c r="H37" s="17">
        <v>9.81</v>
      </c>
      <c r="I37" s="36">
        <f>8.93/8.87</f>
        <v>1.0067643742953778</v>
      </c>
      <c r="J37" s="26">
        <v>9.06</v>
      </c>
      <c r="K37" s="9">
        <f t="shared" si="0"/>
        <v>2077204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6">
        <v>2046</v>
      </c>
      <c r="E38" s="49">
        <v>0.85</v>
      </c>
      <c r="F38" s="47">
        <f t="shared" ref="F38" si="10">ROUNDDOWN(C38*D38*E38,0)</f>
        <v>2521695</v>
      </c>
      <c r="G38" s="5">
        <v>0</v>
      </c>
      <c r="H38" s="5"/>
      <c r="I38" s="5"/>
      <c r="J38" s="24"/>
      <c r="K38" s="9">
        <f>ROUNDDOWN(G38*J38,0)</f>
        <v>0</v>
      </c>
      <c r="L38" s="47">
        <v>400</v>
      </c>
      <c r="M38" s="22"/>
      <c r="N38" s="5">
        <v>0</v>
      </c>
      <c r="O38" s="5">
        <v>0</v>
      </c>
      <c r="P38" s="22">
        <v>15.85</v>
      </c>
      <c r="Q38" s="27">
        <f t="shared" si="1"/>
        <v>0</v>
      </c>
    </row>
    <row r="39" spans="1:22">
      <c r="A39" s="60"/>
      <c r="B39" s="52"/>
      <c r="C39" s="47"/>
      <c r="D39" s="76"/>
      <c r="E39" s="50"/>
      <c r="F39" s="47"/>
      <c r="G39" s="5">
        <v>340600</v>
      </c>
      <c r="H39" s="17">
        <v>12.25</v>
      </c>
      <c r="I39" s="36">
        <f>13.31/13.25</f>
        <v>1.0045283018867925</v>
      </c>
      <c r="J39" s="26">
        <v>13.53</v>
      </c>
      <c r="K39" s="9">
        <f t="shared" si="0"/>
        <v>4608318</v>
      </c>
      <c r="L39" s="47"/>
      <c r="M39" s="22">
        <v>723.79</v>
      </c>
      <c r="N39" s="5">
        <f>ROUNDDOWN(L38*M39*1,0)</f>
        <v>289516</v>
      </c>
      <c r="O39" s="5">
        <v>0</v>
      </c>
      <c r="P39" s="22">
        <v>18.41</v>
      </c>
      <c r="Q39" s="27">
        <f t="shared" si="1"/>
        <v>0</v>
      </c>
    </row>
    <row r="40" spans="1:22">
      <c r="A40" s="60"/>
      <c r="B40" s="52"/>
      <c r="C40" s="47"/>
      <c r="D40" s="76"/>
      <c r="E40" s="51"/>
      <c r="F40" s="47"/>
      <c r="G40" s="5">
        <v>208755</v>
      </c>
      <c r="H40" s="17">
        <v>9.81</v>
      </c>
      <c r="I40" s="36">
        <f>8.93/8.87</f>
        <v>1.0067643742953778</v>
      </c>
      <c r="J40" s="26">
        <v>9.06</v>
      </c>
      <c r="K40" s="9">
        <f t="shared" si="0"/>
        <v>1891320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6">
        <v>2046</v>
      </c>
      <c r="E41" s="49">
        <v>0.85</v>
      </c>
      <c r="F41" s="47">
        <f t="shared" ref="F41" si="11">ROUNDDOWN(C41*D41*E41,0)</f>
        <v>2521695</v>
      </c>
      <c r="G41" s="5">
        <v>0</v>
      </c>
      <c r="H41" s="5"/>
      <c r="I41" s="5"/>
      <c r="J41" s="24"/>
      <c r="K41" s="9">
        <f>ROUNDDOWN(G41*J41,0)</f>
        <v>0</v>
      </c>
      <c r="L41" s="47">
        <v>400</v>
      </c>
      <c r="M41" s="22"/>
      <c r="N41" s="5">
        <v>0</v>
      </c>
      <c r="O41" s="5">
        <v>0</v>
      </c>
      <c r="P41" s="22">
        <v>15.85</v>
      </c>
      <c r="Q41" s="27">
        <f t="shared" si="1"/>
        <v>0</v>
      </c>
    </row>
    <row r="42" spans="1:22">
      <c r="A42" s="60"/>
      <c r="B42" s="52"/>
      <c r="C42" s="47"/>
      <c r="D42" s="76"/>
      <c r="E42" s="50"/>
      <c r="F42" s="47"/>
      <c r="G42" s="5">
        <v>348688</v>
      </c>
      <c r="H42" s="17">
        <v>12.25</v>
      </c>
      <c r="I42" s="36">
        <f>13.31/13.25</f>
        <v>1.0045283018867925</v>
      </c>
      <c r="J42" s="26">
        <v>13.53</v>
      </c>
      <c r="K42" s="9">
        <f t="shared" si="0"/>
        <v>4717748</v>
      </c>
      <c r="L42" s="47"/>
      <c r="M42" s="22">
        <v>723.79</v>
      </c>
      <c r="N42" s="5">
        <f>ROUNDDOWN(L41*M42*1,0)</f>
        <v>289516</v>
      </c>
      <c r="O42" s="5">
        <v>0</v>
      </c>
      <c r="P42" s="22">
        <v>18.41</v>
      </c>
      <c r="Q42" s="27">
        <f t="shared" si="1"/>
        <v>0</v>
      </c>
    </row>
    <row r="43" spans="1:22">
      <c r="A43" s="61"/>
      <c r="B43" s="52"/>
      <c r="C43" s="47"/>
      <c r="D43" s="76"/>
      <c r="E43" s="51"/>
      <c r="F43" s="47"/>
      <c r="G43" s="5">
        <v>213712</v>
      </c>
      <c r="H43" s="17">
        <v>9.81</v>
      </c>
      <c r="I43" s="36">
        <f>8.93/8.87</f>
        <v>1.0067643742953778</v>
      </c>
      <c r="J43" s="26">
        <v>9.06</v>
      </c>
      <c r="K43" s="9">
        <f t="shared" si="0"/>
        <v>1936230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30260340</v>
      </c>
      <c r="G44" s="5">
        <f>SUM(G8:G43)</f>
        <v>7412048</v>
      </c>
      <c r="H44" s="5"/>
      <c r="I44" s="5"/>
      <c r="J44" s="19"/>
      <c r="K44" s="9">
        <f>SUM(K8:K43)</f>
        <v>89602098</v>
      </c>
      <c r="L44" s="6"/>
      <c r="M44" s="29"/>
      <c r="N44" s="27">
        <f>SUM(N8:N43)</f>
        <v>3474192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 thickBot="1">
      <c r="A45" s="89" t="s">
        <v>82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112" t="s">
        <v>54</v>
      </c>
      <c r="O45" s="112"/>
      <c r="P45" s="113">
        <f>F44+K44+N44</f>
        <v>123336630</v>
      </c>
      <c r="Q45" s="114"/>
      <c r="S45" s="100"/>
      <c r="T45" s="100"/>
      <c r="U45" s="101"/>
      <c r="V45" s="102"/>
    </row>
    <row r="46" spans="1:22" ht="13.5" customHeight="1" thickBot="1">
      <c r="A46" s="90" t="s">
        <v>89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7" t="s">
        <v>88</v>
      </c>
      <c r="O46" s="108"/>
      <c r="P46" s="109">
        <f>ROUNDUP(P45/1.1,0)</f>
        <v>112124210</v>
      </c>
      <c r="Q46" s="110"/>
    </row>
    <row r="47" spans="1:22" ht="17.25" customHeight="1">
      <c r="A47" s="90" t="s">
        <v>83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56"/>
      <c r="O47" s="56"/>
      <c r="P47" s="111"/>
      <c r="Q47" s="111"/>
    </row>
    <row r="48" spans="1:22" s="12" customFormat="1" ht="17.25" customHeight="1">
      <c r="A48" s="90" t="s">
        <v>86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 s="105"/>
      <c r="O48" s="105"/>
      <c r="P48" s="106"/>
      <c r="Q48" s="106"/>
    </row>
    <row r="49" spans="1:13" s="12" customFormat="1" ht="17.25" customHeight="1">
      <c r="A49" s="90" t="s">
        <v>84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</row>
    <row r="50" spans="1:13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8">
    <mergeCell ref="L5:L6"/>
    <mergeCell ref="B14:B16"/>
    <mergeCell ref="C14:C16"/>
    <mergeCell ref="D14:D16"/>
    <mergeCell ref="E14:E16"/>
    <mergeCell ref="F14:F16"/>
    <mergeCell ref="L14:L16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  <mergeCell ref="E5:E6"/>
    <mergeCell ref="F5:F6"/>
    <mergeCell ref="H5:H6"/>
    <mergeCell ref="I5:I6"/>
    <mergeCell ref="K5:K6"/>
    <mergeCell ref="B11:B13"/>
    <mergeCell ref="C11:C13"/>
    <mergeCell ref="D11:D13"/>
    <mergeCell ref="E11:E13"/>
    <mergeCell ref="F11:F13"/>
    <mergeCell ref="L11:L13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B17:B19"/>
    <mergeCell ref="C17:C19"/>
    <mergeCell ref="D17:D19"/>
    <mergeCell ref="E17:E19"/>
    <mergeCell ref="F17:F19"/>
    <mergeCell ref="L17:L19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A8:A43"/>
    <mergeCell ref="B8:B10"/>
    <mergeCell ref="C8:C10"/>
    <mergeCell ref="D8:D10"/>
    <mergeCell ref="E8:E10"/>
    <mergeCell ref="F8:F10"/>
    <mergeCell ref="L8:L10"/>
    <mergeCell ref="B38:B40"/>
    <mergeCell ref="C38:C40"/>
    <mergeCell ref="D38:D40"/>
    <mergeCell ref="E38:E40"/>
    <mergeCell ref="F38:F40"/>
    <mergeCell ref="A48:L48"/>
    <mergeCell ref="N48:O48"/>
    <mergeCell ref="P48:Q48"/>
    <mergeCell ref="A49:L49"/>
    <mergeCell ref="A46:L46"/>
    <mergeCell ref="N46:O46"/>
    <mergeCell ref="P46:Q46"/>
    <mergeCell ref="A47:L47"/>
    <mergeCell ref="N47:O47"/>
    <mergeCell ref="P47:Q47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8"/>
  <sheetViews>
    <sheetView view="pageBreakPreview" zoomScaleNormal="100" zoomScaleSheetLayoutView="10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A48" sqref="A48:L48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78</v>
      </c>
      <c r="B8" s="52" t="s">
        <v>23</v>
      </c>
      <c r="C8" s="47">
        <v>1450</v>
      </c>
      <c r="D8" s="76">
        <v>2142.7800000000002</v>
      </c>
      <c r="E8" s="49">
        <v>0.85</v>
      </c>
      <c r="F8" s="47">
        <f>ROUNDDOWN(C8*D8*E8,0)</f>
        <v>2640976</v>
      </c>
      <c r="G8" s="5"/>
      <c r="H8" s="5"/>
      <c r="I8" s="5"/>
      <c r="J8" s="24"/>
      <c r="K8" s="9">
        <f>ROUNDDOWN(G8*J8,0)</f>
        <v>0</v>
      </c>
      <c r="L8" s="47">
        <v>400</v>
      </c>
      <c r="M8" s="22">
        <v>1425.6</v>
      </c>
      <c r="N8" s="5">
        <v>0</v>
      </c>
      <c r="O8" s="5">
        <v>0</v>
      </c>
      <c r="P8" s="22">
        <v>22.93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288528</v>
      </c>
      <c r="H9" s="17">
        <v>12.25</v>
      </c>
      <c r="I9" s="36">
        <f>13.31/13.25</f>
        <v>1.0045283018867925</v>
      </c>
      <c r="J9" s="26">
        <v>13.84</v>
      </c>
      <c r="K9" s="9">
        <f t="shared" ref="K9:K43" si="0">ROUNDDOWN(G9*J9,0)</f>
        <v>3993227</v>
      </c>
      <c r="L9" s="47"/>
      <c r="M9" s="22">
        <v>483.99</v>
      </c>
      <c r="N9" s="5">
        <f>ROUNDDOWN(L8*M9*1,0)</f>
        <v>193596</v>
      </c>
      <c r="O9" s="5">
        <v>0</v>
      </c>
      <c r="P9" s="22">
        <v>18.98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178032</v>
      </c>
      <c r="H10" s="17">
        <v>9.81</v>
      </c>
      <c r="I10" s="36">
        <f>8.93/8.87</f>
        <v>1.0067643742953778</v>
      </c>
      <c r="J10" s="26">
        <v>9.59</v>
      </c>
      <c r="K10" s="9">
        <f t="shared" si="0"/>
        <v>1707326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2142.7800000000002</v>
      </c>
      <c r="E11" s="49">
        <v>0.85</v>
      </c>
      <c r="F11" s="47">
        <f>ROUNDDOWN(C11*D11*E11,0)</f>
        <v>2640976</v>
      </c>
      <c r="G11" s="5"/>
      <c r="H11" s="5"/>
      <c r="I11" s="5"/>
      <c r="J11" s="24"/>
      <c r="K11" s="9">
        <f>ROUNDDOWN(G11*J11,0)</f>
        <v>0</v>
      </c>
      <c r="L11" s="47">
        <v>400</v>
      </c>
      <c r="M11" s="22">
        <v>1425.6</v>
      </c>
      <c r="N11" s="5">
        <v>0</v>
      </c>
      <c r="O11" s="5">
        <v>0</v>
      </c>
      <c r="P11" s="22">
        <v>22.93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333144</v>
      </c>
      <c r="H12" s="17">
        <v>12.25</v>
      </c>
      <c r="I12" s="36">
        <f>13.31/13.25</f>
        <v>1.0045283018867925</v>
      </c>
      <c r="J12" s="26">
        <v>13.84</v>
      </c>
      <c r="K12" s="9">
        <f t="shared" si="0"/>
        <v>4610712</v>
      </c>
      <c r="L12" s="47"/>
      <c r="M12" s="22">
        <v>483.99</v>
      </c>
      <c r="N12" s="5">
        <f>ROUNDDOWN(L11*M12*1,0)</f>
        <v>193596</v>
      </c>
      <c r="O12" s="5">
        <v>0</v>
      </c>
      <c r="P12" s="22">
        <v>18.98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191282</v>
      </c>
      <c r="H13" s="17">
        <v>9.81</v>
      </c>
      <c r="I13" s="36">
        <f>8.93/8.87</f>
        <v>1.0067643742953778</v>
      </c>
      <c r="J13" s="26">
        <v>9.59</v>
      </c>
      <c r="K13" s="9">
        <f t="shared" si="0"/>
        <v>1834394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>
        <v>2142.7800000000002</v>
      </c>
      <c r="E14" s="49">
        <v>0.85</v>
      </c>
      <c r="F14" s="47">
        <f t="shared" ref="F14" si="2">ROUNDDOWN(C14*D14*E14,0)</f>
        <v>2640976</v>
      </c>
      <c r="G14" s="5"/>
      <c r="H14" s="5"/>
      <c r="I14" s="5"/>
      <c r="J14" s="24"/>
      <c r="K14" s="9">
        <f>ROUNDDOWN(G14*J14,0)</f>
        <v>0</v>
      </c>
      <c r="L14" s="47">
        <v>400</v>
      </c>
      <c r="M14" s="22">
        <v>1425.6</v>
      </c>
      <c r="N14" s="5">
        <v>0</v>
      </c>
      <c r="O14" s="5">
        <v>0</v>
      </c>
      <c r="P14" s="22">
        <v>22.93</v>
      </c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403368</v>
      </c>
      <c r="H15" s="17">
        <v>12.25</v>
      </c>
      <c r="I15" s="36">
        <f>13.31/13.25</f>
        <v>1.0045283018867925</v>
      </c>
      <c r="J15" s="26">
        <v>13.84</v>
      </c>
      <c r="K15" s="9">
        <f t="shared" si="0"/>
        <v>5582613</v>
      </c>
      <c r="L15" s="47"/>
      <c r="M15" s="22">
        <v>483.99</v>
      </c>
      <c r="N15" s="5">
        <f>ROUNDDOWN(L14*M15*1,0)</f>
        <v>193596</v>
      </c>
      <c r="O15" s="5">
        <v>0</v>
      </c>
      <c r="P15" s="22">
        <v>18.98</v>
      </c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220740</v>
      </c>
      <c r="H16" s="17">
        <v>9.81</v>
      </c>
      <c r="I16" s="36">
        <f>8.93/8.87</f>
        <v>1.0067643742953778</v>
      </c>
      <c r="J16" s="26">
        <v>9.59</v>
      </c>
      <c r="K16" s="9">
        <f t="shared" si="0"/>
        <v>2116896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>
        <v>2142.7800000000002</v>
      </c>
      <c r="E17" s="49">
        <v>0.85</v>
      </c>
      <c r="F17" s="47">
        <f t="shared" ref="F17" si="3">ROUNDDOWN(C17*D17*E17,0)</f>
        <v>2640976</v>
      </c>
      <c r="G17" s="5">
        <v>0</v>
      </c>
      <c r="H17" s="17">
        <v>13</v>
      </c>
      <c r="I17" s="36">
        <f>16.67/16.61</f>
        <v>1.0036122817579773</v>
      </c>
      <c r="J17" s="26">
        <v>17.260000000000002</v>
      </c>
      <c r="K17" s="9">
        <f>ROUNDDOWN(G17*J17,0)</f>
        <v>0</v>
      </c>
      <c r="L17" s="47">
        <v>400</v>
      </c>
      <c r="M17" s="22">
        <v>1425.6</v>
      </c>
      <c r="N17" s="5">
        <v>0</v>
      </c>
      <c r="O17" s="5">
        <v>0</v>
      </c>
      <c r="P17" s="22">
        <v>22.93</v>
      </c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469728</v>
      </c>
      <c r="H18" s="17">
        <v>13</v>
      </c>
      <c r="I18" s="36">
        <f>14.25/14.19</f>
        <v>1.0042283298097252</v>
      </c>
      <c r="J18" s="26">
        <v>13.84</v>
      </c>
      <c r="K18" s="9">
        <f t="shared" si="0"/>
        <v>6501035</v>
      </c>
      <c r="L18" s="47"/>
      <c r="M18" s="22">
        <v>483.99</v>
      </c>
      <c r="N18" s="5">
        <f>ROUNDDOWN(L17*M18*1,0)</f>
        <v>193596</v>
      </c>
      <c r="O18" s="5">
        <v>0</v>
      </c>
      <c r="P18" s="22">
        <v>18.98</v>
      </c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273929</v>
      </c>
      <c r="H19" s="17">
        <v>9.81</v>
      </c>
      <c r="I19" s="36">
        <f>8.93/8.87</f>
        <v>1.0067643742953778</v>
      </c>
      <c r="J19" s="26">
        <v>9.59</v>
      </c>
      <c r="K19" s="9">
        <f t="shared" si="0"/>
        <v>2626979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>
        <v>2142.7800000000002</v>
      </c>
      <c r="E20" s="49">
        <v>0.85</v>
      </c>
      <c r="F20" s="47">
        <f t="shared" ref="F20" si="4">ROUNDDOWN(C20*D20*E20,0)</f>
        <v>2640976</v>
      </c>
      <c r="G20" s="5">
        <v>0</v>
      </c>
      <c r="H20" s="17">
        <v>13</v>
      </c>
      <c r="I20" s="36">
        <f>16.67/16.61</f>
        <v>1.0036122817579773</v>
      </c>
      <c r="J20" s="26">
        <v>17.260000000000002</v>
      </c>
      <c r="K20" s="9">
        <f>ROUNDDOWN(G20*J20,0)</f>
        <v>0</v>
      </c>
      <c r="L20" s="47">
        <v>400</v>
      </c>
      <c r="M20" s="22">
        <v>1425.6</v>
      </c>
      <c r="N20" s="5">
        <v>0</v>
      </c>
      <c r="O20" s="5">
        <v>0</v>
      </c>
      <c r="P20" s="22">
        <v>22.93</v>
      </c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477744</v>
      </c>
      <c r="H21" s="17">
        <v>13</v>
      </c>
      <c r="I21" s="36">
        <f>14.25/14.19</f>
        <v>1.0042283298097252</v>
      </c>
      <c r="J21" s="26">
        <v>13.84</v>
      </c>
      <c r="K21" s="9">
        <f t="shared" si="0"/>
        <v>6611976</v>
      </c>
      <c r="L21" s="47"/>
      <c r="M21" s="22">
        <v>483.99</v>
      </c>
      <c r="N21" s="5">
        <f>ROUNDDOWN(L20*M21*1,0)</f>
        <v>193596</v>
      </c>
      <c r="O21" s="5">
        <v>0</v>
      </c>
      <c r="P21" s="22">
        <v>18.98</v>
      </c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288924</v>
      </c>
      <c r="H22" s="17">
        <v>9.81</v>
      </c>
      <c r="I22" s="36">
        <f>8.93/8.87</f>
        <v>1.0067643742953778</v>
      </c>
      <c r="J22" s="26">
        <v>9.59</v>
      </c>
      <c r="K22" s="9">
        <f t="shared" si="0"/>
        <v>2770781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>
        <v>2142.7800000000002</v>
      </c>
      <c r="E23" s="49">
        <v>0.85</v>
      </c>
      <c r="F23" s="47">
        <f t="shared" ref="F23" si="5">ROUNDDOWN(C23*D23*E23,0)</f>
        <v>2640976</v>
      </c>
      <c r="G23" s="5">
        <v>0</v>
      </c>
      <c r="H23" s="17">
        <v>13</v>
      </c>
      <c r="I23" s="36">
        <f>16.67/16.61</f>
        <v>1.0036122817579773</v>
      </c>
      <c r="J23" s="26">
        <v>17.260000000000002</v>
      </c>
      <c r="K23" s="9">
        <f>ROUNDDOWN(G23*J23,0)</f>
        <v>0</v>
      </c>
      <c r="L23" s="47">
        <v>400</v>
      </c>
      <c r="M23" s="22">
        <v>1425.6</v>
      </c>
      <c r="N23" s="5">
        <v>0</v>
      </c>
      <c r="O23" s="5">
        <v>0</v>
      </c>
      <c r="P23" s="22">
        <v>22.93</v>
      </c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435912</v>
      </c>
      <c r="H24" s="17">
        <v>13</v>
      </c>
      <c r="I24" s="36">
        <f>14.25/14.19</f>
        <v>1.0042283298097252</v>
      </c>
      <c r="J24" s="26">
        <v>13.84</v>
      </c>
      <c r="K24" s="9">
        <f t="shared" si="0"/>
        <v>6033022</v>
      </c>
      <c r="L24" s="47"/>
      <c r="M24" s="22">
        <v>483.99</v>
      </c>
      <c r="N24" s="5">
        <f>ROUNDDOWN(L23*M24*1,0)</f>
        <v>193596</v>
      </c>
      <c r="O24" s="5">
        <v>0</v>
      </c>
      <c r="P24" s="22">
        <v>18.98</v>
      </c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266136</v>
      </c>
      <c r="H25" s="17">
        <v>9.81</v>
      </c>
      <c r="I25" s="36">
        <f>8.93/8.87</f>
        <v>1.0067643742953778</v>
      </c>
      <c r="J25" s="26">
        <v>9.59</v>
      </c>
      <c r="K25" s="9">
        <f t="shared" si="0"/>
        <v>2552244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>
        <v>2142.7800000000002</v>
      </c>
      <c r="E26" s="49">
        <v>0.85</v>
      </c>
      <c r="F26" s="47">
        <f t="shared" ref="F26" si="6">ROUNDDOWN(C26*D26*E26,0)</f>
        <v>2640976</v>
      </c>
      <c r="G26" s="5"/>
      <c r="H26" s="5"/>
      <c r="I26" s="5"/>
      <c r="J26" s="24"/>
      <c r="K26" s="9">
        <f>ROUNDDOWN(G26*J26,0)</f>
        <v>0</v>
      </c>
      <c r="L26" s="47">
        <v>400</v>
      </c>
      <c r="M26" s="22">
        <v>1425.6</v>
      </c>
      <c r="N26" s="5">
        <v>0</v>
      </c>
      <c r="O26" s="5">
        <v>0</v>
      </c>
      <c r="P26" s="22">
        <v>22.93</v>
      </c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355968</v>
      </c>
      <c r="H27" s="17">
        <v>12.25</v>
      </c>
      <c r="I27" s="36">
        <f>13.31/13.25</f>
        <v>1.0045283018867925</v>
      </c>
      <c r="J27" s="26">
        <v>13.84</v>
      </c>
      <c r="K27" s="9">
        <f t="shared" si="0"/>
        <v>4926597</v>
      </c>
      <c r="L27" s="47"/>
      <c r="M27" s="22">
        <v>483.99</v>
      </c>
      <c r="N27" s="5">
        <f>ROUNDDOWN(L26*M27*1,0)</f>
        <v>193596</v>
      </c>
      <c r="O27" s="5">
        <v>0</v>
      </c>
      <c r="P27" s="22">
        <v>18.98</v>
      </c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219941</v>
      </c>
      <c r="H28" s="17">
        <v>9.81</v>
      </c>
      <c r="I28" s="36">
        <f>8.93/8.87</f>
        <v>1.0067643742953778</v>
      </c>
      <c r="J28" s="26">
        <v>9.59</v>
      </c>
      <c r="K28" s="9">
        <f t="shared" si="0"/>
        <v>2109234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>
        <v>2142.7800000000002</v>
      </c>
      <c r="E29" s="49">
        <v>0.85</v>
      </c>
      <c r="F29" s="47">
        <f t="shared" ref="F29" si="7">ROUNDDOWN(C29*D29*E29,0)</f>
        <v>2640976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>
        <v>1425.6</v>
      </c>
      <c r="N29" s="5">
        <v>0</v>
      </c>
      <c r="O29" s="5">
        <v>0</v>
      </c>
      <c r="P29" s="22">
        <v>22.93</v>
      </c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262601</v>
      </c>
      <c r="H30" s="17">
        <v>12.25</v>
      </c>
      <c r="I30" s="36">
        <f>13.31/13.25</f>
        <v>1.0045283018867925</v>
      </c>
      <c r="J30" s="26">
        <v>13.84</v>
      </c>
      <c r="K30" s="9">
        <f t="shared" si="0"/>
        <v>3634397</v>
      </c>
      <c r="L30" s="47"/>
      <c r="M30" s="22">
        <v>483.99</v>
      </c>
      <c r="N30" s="5">
        <f>ROUNDDOWN(L29*M30*1,0)</f>
        <v>193596</v>
      </c>
      <c r="O30" s="5">
        <v>0</v>
      </c>
      <c r="P30" s="22">
        <v>18.98</v>
      </c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266097</v>
      </c>
      <c r="H31" s="17">
        <v>9.81</v>
      </c>
      <c r="I31" s="36">
        <f>8.93/8.87</f>
        <v>1.0067643742953778</v>
      </c>
      <c r="J31" s="26">
        <v>9.59</v>
      </c>
      <c r="K31" s="9">
        <f t="shared" si="0"/>
        <v>2551870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>
        <v>2142.7800000000002</v>
      </c>
      <c r="E32" s="49">
        <v>0.85</v>
      </c>
      <c r="F32" s="47">
        <f t="shared" ref="F32" si="8">ROUNDDOWN(C32*D32*E32,0)</f>
        <v>2640976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>
        <v>1425.6</v>
      </c>
      <c r="N32" s="5">
        <v>0</v>
      </c>
      <c r="O32" s="5">
        <v>0</v>
      </c>
      <c r="P32" s="22">
        <v>22.93</v>
      </c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342432</v>
      </c>
      <c r="H33" s="17">
        <v>12.25</v>
      </c>
      <c r="I33" s="36">
        <f>13.31/13.25</f>
        <v>1.0045283018867925</v>
      </c>
      <c r="J33" s="26">
        <v>13.84</v>
      </c>
      <c r="K33" s="9">
        <f t="shared" si="0"/>
        <v>4739258</v>
      </c>
      <c r="L33" s="47"/>
      <c r="M33" s="22">
        <v>483.99</v>
      </c>
      <c r="N33" s="5">
        <f>ROUNDDOWN(L32*M33*1,0)</f>
        <v>193596</v>
      </c>
      <c r="O33" s="5">
        <v>0</v>
      </c>
      <c r="P33" s="22">
        <v>18.98</v>
      </c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211886</v>
      </c>
      <c r="H34" s="17">
        <v>9.81</v>
      </c>
      <c r="I34" s="36">
        <f>8.93/8.87</f>
        <v>1.0067643742953778</v>
      </c>
      <c r="J34" s="26">
        <v>9.59</v>
      </c>
      <c r="K34" s="9">
        <f t="shared" si="0"/>
        <v>2031986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>
        <v>2142.7800000000002</v>
      </c>
      <c r="E35" s="49">
        <v>0.85</v>
      </c>
      <c r="F35" s="47">
        <f t="shared" ref="F35" si="9">ROUNDDOWN(C35*D35*E35,0)</f>
        <v>2640976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>
        <v>1425.6</v>
      </c>
      <c r="N35" s="5">
        <v>0</v>
      </c>
      <c r="O35" s="5">
        <v>0</v>
      </c>
      <c r="P35" s="22">
        <v>22.93</v>
      </c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369720</v>
      </c>
      <c r="H36" s="17">
        <v>12.25</v>
      </c>
      <c r="I36" s="36">
        <f>13.31/13.25</f>
        <v>1.0045283018867925</v>
      </c>
      <c r="J36" s="26">
        <v>13.84</v>
      </c>
      <c r="K36" s="9">
        <f t="shared" si="0"/>
        <v>5116924</v>
      </c>
      <c r="L36" s="47"/>
      <c r="M36" s="22">
        <v>483.99</v>
      </c>
      <c r="N36" s="5">
        <f>ROUNDDOWN(L35*M36*1,0)</f>
        <v>193596</v>
      </c>
      <c r="O36" s="5">
        <v>0</v>
      </c>
      <c r="P36" s="22">
        <v>18.98</v>
      </c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225430</v>
      </c>
      <c r="H37" s="17">
        <v>9.81</v>
      </c>
      <c r="I37" s="36">
        <f>8.93/8.87</f>
        <v>1.0067643742953778</v>
      </c>
      <c r="J37" s="26">
        <v>9.59</v>
      </c>
      <c r="K37" s="9">
        <f t="shared" si="0"/>
        <v>2161873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>
        <v>2142.7800000000002</v>
      </c>
      <c r="E38" s="49">
        <v>0.85</v>
      </c>
      <c r="F38" s="47">
        <f t="shared" ref="F38" si="10">ROUNDDOWN(C38*D38*E38,0)</f>
        <v>2640976</v>
      </c>
      <c r="G38" s="5"/>
      <c r="H38" s="5"/>
      <c r="I38" s="5"/>
      <c r="J38" s="24"/>
      <c r="K38" s="9">
        <f>ROUNDDOWN(G38*J38,0)</f>
        <v>0</v>
      </c>
      <c r="L38" s="47">
        <v>400</v>
      </c>
      <c r="M38" s="22">
        <v>1425.6</v>
      </c>
      <c r="N38" s="5">
        <v>0</v>
      </c>
      <c r="O38" s="5">
        <v>0</v>
      </c>
      <c r="P38" s="22">
        <v>22.93</v>
      </c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304008</v>
      </c>
      <c r="H39" s="17">
        <v>12.25</v>
      </c>
      <c r="I39" s="36">
        <f>13.31/13.25</f>
        <v>1.0045283018867925</v>
      </c>
      <c r="J39" s="26">
        <v>13.84</v>
      </c>
      <c r="K39" s="9">
        <f t="shared" si="0"/>
        <v>4207470</v>
      </c>
      <c r="L39" s="47"/>
      <c r="M39" s="22">
        <v>483.99</v>
      </c>
      <c r="N39" s="5">
        <f>ROUNDDOWN(L38*M39*1,0)</f>
        <v>193596</v>
      </c>
      <c r="O39" s="5">
        <v>0</v>
      </c>
      <c r="P39" s="22">
        <v>18.98</v>
      </c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190546</v>
      </c>
      <c r="H40" s="17">
        <v>9.81</v>
      </c>
      <c r="I40" s="36">
        <f>8.93/8.87</f>
        <v>1.0067643742953778</v>
      </c>
      <c r="J40" s="26">
        <v>9.59</v>
      </c>
      <c r="K40" s="9">
        <f t="shared" si="0"/>
        <v>1827336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>
        <v>2142.7800000000002</v>
      </c>
      <c r="E41" s="49">
        <v>0.85</v>
      </c>
      <c r="F41" s="47">
        <f>ROUNDDOWN(C41*D41*E41,0)</f>
        <v>2640976</v>
      </c>
      <c r="G41" s="5"/>
      <c r="H41" s="5"/>
      <c r="I41" s="5"/>
      <c r="J41" s="24"/>
      <c r="K41" s="9">
        <f>ROUNDDOWN(G41*J41,0)</f>
        <v>0</v>
      </c>
      <c r="L41" s="47">
        <v>400</v>
      </c>
      <c r="M41" s="22">
        <v>1425.6</v>
      </c>
      <c r="N41" s="5">
        <v>0</v>
      </c>
      <c r="O41" s="5">
        <v>0</v>
      </c>
      <c r="P41" s="22">
        <v>22.93</v>
      </c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307776</v>
      </c>
      <c r="H42" s="17">
        <v>12.25</v>
      </c>
      <c r="I42" s="36">
        <f>13.31/13.25</f>
        <v>1.0045283018867925</v>
      </c>
      <c r="J42" s="26">
        <v>13.84</v>
      </c>
      <c r="K42" s="9">
        <f t="shared" si="0"/>
        <v>4259619</v>
      </c>
      <c r="L42" s="47"/>
      <c r="M42" s="22">
        <v>483.99</v>
      </c>
      <c r="N42" s="5">
        <f>ROUNDDOWN(L41*M42*1,0)</f>
        <v>193596</v>
      </c>
      <c r="O42" s="5">
        <v>0</v>
      </c>
      <c r="P42" s="22">
        <v>18.98</v>
      </c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198156</v>
      </c>
      <c r="H43" s="17">
        <v>9.81</v>
      </c>
      <c r="I43" s="36">
        <f>8.93/8.87</f>
        <v>1.0067643742953778</v>
      </c>
      <c r="J43" s="26">
        <v>9.59</v>
      </c>
      <c r="K43" s="9">
        <f t="shared" si="0"/>
        <v>1900316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31691712</v>
      </c>
      <c r="G44" s="5">
        <f>SUM(G8:G43)</f>
        <v>7082028</v>
      </c>
      <c r="H44" s="5"/>
      <c r="I44" s="5"/>
      <c r="J44" s="19"/>
      <c r="K44" s="9">
        <f>SUM(K8:K43)</f>
        <v>86408085</v>
      </c>
      <c r="L44" s="6"/>
      <c r="M44" s="29"/>
      <c r="N44" s="27">
        <f>SUM(N8:N43)</f>
        <v>2323152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120422949</v>
      </c>
      <c r="Q45" s="92"/>
      <c r="S45" s="100"/>
      <c r="T45" s="100"/>
      <c r="U45" s="101"/>
      <c r="V45" s="102"/>
    </row>
    <row r="46" spans="1:22" ht="13.5" customHeight="1">
      <c r="A46" s="90" t="s">
        <v>91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109475409</v>
      </c>
      <c r="Q46" s="92"/>
    </row>
    <row r="47" spans="1:22" ht="17.25" customHeight="1">
      <c r="A47" s="90" t="s">
        <v>94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 t="s">
        <v>93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48:L48"/>
    <mergeCell ref="A49:L49"/>
    <mergeCell ref="A46:L46"/>
    <mergeCell ref="N46:O46"/>
    <mergeCell ref="P46:Q46"/>
    <mergeCell ref="A47:L47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58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RowHeight="13.2"/>
  <cols>
    <col min="1" max="1" width="3.77734375" customWidth="1"/>
    <col min="2" max="2" width="3.44140625" customWidth="1"/>
    <col min="3" max="5" width="11.21875" customWidth="1"/>
    <col min="6" max="6" width="14.44140625" customWidth="1"/>
    <col min="7" max="7" width="11.44140625" customWidth="1"/>
    <col min="8" max="9" width="11.44140625" hidden="1" customWidth="1"/>
    <col min="10" max="10" width="11" bestFit="1" customWidth="1"/>
    <col min="11" max="11" width="14.44140625" customWidth="1"/>
    <col min="12" max="12" width="10.6640625" customWidth="1"/>
    <col min="13" max="13" width="17" customWidth="1"/>
    <col min="14" max="14" width="12.6640625" customWidth="1"/>
    <col min="15" max="15" width="10" customWidth="1"/>
    <col min="16" max="16" width="9.77734375" bestFit="1" customWidth="1"/>
  </cols>
  <sheetData>
    <row r="1" spans="1:17" ht="18.75" customHeight="1">
      <c r="A1" s="81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3.5" customHeight="1">
      <c r="A3" s="52" t="s">
        <v>0</v>
      </c>
      <c r="B3" s="63"/>
      <c r="C3" s="53" t="s">
        <v>57</v>
      </c>
      <c r="D3" s="54"/>
      <c r="E3" s="54"/>
      <c r="F3" s="54"/>
      <c r="G3" s="54"/>
      <c r="H3" s="54"/>
      <c r="I3" s="54"/>
      <c r="J3" s="54"/>
      <c r="K3" s="55"/>
      <c r="L3" s="66" t="s">
        <v>58</v>
      </c>
      <c r="M3" s="66"/>
      <c r="N3" s="66"/>
      <c r="O3" s="66"/>
      <c r="P3" s="66"/>
      <c r="Q3" s="66"/>
    </row>
    <row r="4" spans="1:17">
      <c r="A4" s="63"/>
      <c r="B4" s="63"/>
      <c r="C4" s="52" t="s">
        <v>3</v>
      </c>
      <c r="D4" s="52"/>
      <c r="E4" s="52"/>
      <c r="F4" s="52"/>
      <c r="G4" s="52" t="s">
        <v>18</v>
      </c>
      <c r="H4" s="52"/>
      <c r="I4" s="52"/>
      <c r="J4" s="52"/>
      <c r="K4" s="52"/>
      <c r="L4" s="52" t="s">
        <v>3</v>
      </c>
      <c r="M4" s="52"/>
      <c r="N4" s="52"/>
      <c r="O4" s="52" t="s">
        <v>18</v>
      </c>
      <c r="P4" s="52"/>
      <c r="Q4" s="52"/>
    </row>
    <row r="5" spans="1:17" ht="13.5" customHeight="1">
      <c r="A5" s="63"/>
      <c r="B5" s="63"/>
      <c r="C5" s="52" t="s">
        <v>4</v>
      </c>
      <c r="D5" s="65" t="s">
        <v>65</v>
      </c>
      <c r="E5" s="62" t="s">
        <v>33</v>
      </c>
      <c r="F5" s="52" t="s">
        <v>27</v>
      </c>
      <c r="G5" s="4" t="s">
        <v>66</v>
      </c>
      <c r="H5" s="62" t="s">
        <v>52</v>
      </c>
      <c r="I5" s="62" t="s">
        <v>56</v>
      </c>
      <c r="J5" s="43" t="s">
        <v>67</v>
      </c>
      <c r="K5" s="52" t="s">
        <v>26</v>
      </c>
      <c r="L5" s="52" t="s">
        <v>4</v>
      </c>
      <c r="M5" s="99" t="s">
        <v>68</v>
      </c>
      <c r="N5" s="52" t="s">
        <v>28</v>
      </c>
      <c r="O5" s="4" t="s">
        <v>5</v>
      </c>
      <c r="P5" s="43" t="s">
        <v>71</v>
      </c>
      <c r="Q5" s="52" t="s">
        <v>29</v>
      </c>
    </row>
    <row r="6" spans="1:17" ht="28.8">
      <c r="A6" s="63"/>
      <c r="B6" s="63"/>
      <c r="C6" s="52"/>
      <c r="D6" s="52"/>
      <c r="E6" s="61"/>
      <c r="F6" s="52"/>
      <c r="G6" s="3" t="s">
        <v>8</v>
      </c>
      <c r="H6" s="61"/>
      <c r="I6" s="61"/>
      <c r="J6" s="44" t="s">
        <v>8</v>
      </c>
      <c r="K6" s="52"/>
      <c r="L6" s="52"/>
      <c r="M6" s="59"/>
      <c r="N6" s="52"/>
      <c r="O6" s="3" t="s">
        <v>9</v>
      </c>
      <c r="P6" s="44" t="s">
        <v>9</v>
      </c>
      <c r="Q6" s="52"/>
    </row>
    <row r="7" spans="1:17">
      <c r="A7" s="63"/>
      <c r="B7" s="63"/>
      <c r="C7" s="1" t="s">
        <v>19</v>
      </c>
      <c r="D7" s="1" t="s">
        <v>10</v>
      </c>
      <c r="E7" s="1"/>
      <c r="F7" s="1" t="s">
        <v>10</v>
      </c>
      <c r="G7" s="1" t="s">
        <v>20</v>
      </c>
      <c r="H7" s="1"/>
      <c r="I7" s="1"/>
      <c r="J7" s="33" t="s">
        <v>10</v>
      </c>
      <c r="K7" s="1" t="s">
        <v>10</v>
      </c>
      <c r="L7" s="1" t="s">
        <v>19</v>
      </c>
      <c r="M7" s="33" t="s">
        <v>10</v>
      </c>
      <c r="N7" s="1" t="s">
        <v>10</v>
      </c>
      <c r="O7" s="1" t="s">
        <v>20</v>
      </c>
      <c r="P7" s="33" t="s">
        <v>10</v>
      </c>
      <c r="Q7" s="1" t="s">
        <v>10</v>
      </c>
    </row>
    <row r="8" spans="1:17" ht="13.5" customHeight="1">
      <c r="A8" s="62" t="s">
        <v>95</v>
      </c>
      <c r="B8" s="52" t="s">
        <v>23</v>
      </c>
      <c r="C8" s="47">
        <v>1450</v>
      </c>
      <c r="D8" s="76">
        <v>2142.7800000000002</v>
      </c>
      <c r="E8" s="49">
        <v>0.85</v>
      </c>
      <c r="F8" s="47">
        <f>ROUNDDOWN(C8*D8*E8,0)</f>
        <v>2640976</v>
      </c>
      <c r="G8" s="5"/>
      <c r="H8" s="5"/>
      <c r="I8" s="5"/>
      <c r="J8" s="24"/>
      <c r="K8" s="9">
        <f>ROUNDDOWN(G8*J8,0)</f>
        <v>0</v>
      </c>
      <c r="L8" s="47">
        <v>400</v>
      </c>
      <c r="M8" s="22">
        <v>1425.6</v>
      </c>
      <c r="N8" s="5">
        <v>0</v>
      </c>
      <c r="O8" s="5">
        <v>0</v>
      </c>
      <c r="P8" s="22">
        <v>18.98</v>
      </c>
      <c r="Q8" s="27">
        <f>ROUNDDOWN(O8*P8,0)</f>
        <v>0</v>
      </c>
    </row>
    <row r="9" spans="1:17">
      <c r="A9" s="60"/>
      <c r="B9" s="52"/>
      <c r="C9" s="47"/>
      <c r="D9" s="76"/>
      <c r="E9" s="50"/>
      <c r="F9" s="47"/>
      <c r="G9" s="5">
        <v>288528</v>
      </c>
      <c r="H9" s="17">
        <v>12.25</v>
      </c>
      <c r="I9" s="36">
        <f>13.31/13.25</f>
        <v>1.0045283018867925</v>
      </c>
      <c r="J9" s="26">
        <v>13.84</v>
      </c>
      <c r="K9" s="9">
        <f t="shared" ref="K9:K43" si="0">ROUNDDOWN(G9*J9,0)</f>
        <v>3993227</v>
      </c>
      <c r="L9" s="47"/>
      <c r="M9" s="22">
        <v>483.99</v>
      </c>
      <c r="N9" s="5">
        <f>ROUNDDOWN(L8*M9*1,0)</f>
        <v>193596</v>
      </c>
      <c r="O9" s="5">
        <v>0</v>
      </c>
      <c r="P9" s="22">
        <v>22.93</v>
      </c>
      <c r="Q9" s="27">
        <f>ROUNDDOWN(O9*P9,0)</f>
        <v>0</v>
      </c>
    </row>
    <row r="10" spans="1:17">
      <c r="A10" s="60"/>
      <c r="B10" s="52"/>
      <c r="C10" s="47"/>
      <c r="D10" s="76"/>
      <c r="E10" s="51"/>
      <c r="F10" s="47"/>
      <c r="G10" s="5">
        <v>178032</v>
      </c>
      <c r="H10" s="17">
        <v>9.81</v>
      </c>
      <c r="I10" s="36">
        <f>8.93/8.87</f>
        <v>1.0067643742953778</v>
      </c>
      <c r="J10" s="26">
        <v>9.59</v>
      </c>
      <c r="K10" s="9">
        <f t="shared" si="0"/>
        <v>1707326</v>
      </c>
      <c r="L10" s="47"/>
      <c r="M10" s="40"/>
      <c r="N10" s="6"/>
      <c r="O10" s="6"/>
      <c r="P10" s="40"/>
      <c r="Q10" s="30"/>
    </row>
    <row r="11" spans="1:17" ht="13.5" customHeight="1">
      <c r="A11" s="60"/>
      <c r="B11" s="52" t="s">
        <v>24</v>
      </c>
      <c r="C11" s="47">
        <v>1450</v>
      </c>
      <c r="D11" s="76">
        <v>2142.7800000000002</v>
      </c>
      <c r="E11" s="49">
        <v>0.85</v>
      </c>
      <c r="F11" s="47">
        <f>ROUNDDOWN(C11*D11*E11,0)</f>
        <v>2640976</v>
      </c>
      <c r="G11" s="5"/>
      <c r="H11" s="5"/>
      <c r="I11" s="5"/>
      <c r="J11" s="24"/>
      <c r="K11" s="9">
        <f>ROUNDDOWN(G11*J11,0)</f>
        <v>0</v>
      </c>
      <c r="L11" s="47">
        <v>400</v>
      </c>
      <c r="M11" s="22">
        <v>1425.6</v>
      </c>
      <c r="N11" s="5">
        <v>0</v>
      </c>
      <c r="O11" s="5">
        <v>0</v>
      </c>
      <c r="P11" s="22">
        <v>18.98</v>
      </c>
      <c r="Q11" s="27">
        <f>ROUNDDOWN(O11*P11,0)</f>
        <v>0</v>
      </c>
    </row>
    <row r="12" spans="1:17">
      <c r="A12" s="60"/>
      <c r="B12" s="52"/>
      <c r="C12" s="47"/>
      <c r="D12" s="76"/>
      <c r="E12" s="50"/>
      <c r="F12" s="47"/>
      <c r="G12" s="5">
        <v>333144</v>
      </c>
      <c r="H12" s="17">
        <v>12.25</v>
      </c>
      <c r="I12" s="36">
        <f>13.31/13.25</f>
        <v>1.0045283018867925</v>
      </c>
      <c r="J12" s="26">
        <v>13.84</v>
      </c>
      <c r="K12" s="9">
        <f t="shared" si="0"/>
        <v>4610712</v>
      </c>
      <c r="L12" s="47"/>
      <c r="M12" s="22">
        <v>483.99</v>
      </c>
      <c r="N12" s="5">
        <f>ROUNDDOWN(L11*M12*1,0)</f>
        <v>193596</v>
      </c>
      <c r="O12" s="5">
        <v>0</v>
      </c>
      <c r="P12" s="22">
        <v>22.93</v>
      </c>
      <c r="Q12" s="27">
        <f t="shared" ref="Q12:Q42" si="1">ROUNDDOWN(O12*P12,0)</f>
        <v>0</v>
      </c>
    </row>
    <row r="13" spans="1:17">
      <c r="A13" s="60"/>
      <c r="B13" s="52"/>
      <c r="C13" s="47"/>
      <c r="D13" s="76"/>
      <c r="E13" s="51"/>
      <c r="F13" s="47"/>
      <c r="G13" s="5">
        <v>191282</v>
      </c>
      <c r="H13" s="17">
        <v>9.81</v>
      </c>
      <c r="I13" s="36">
        <f>8.93/8.87</f>
        <v>1.0067643742953778</v>
      </c>
      <c r="J13" s="26">
        <v>9.59</v>
      </c>
      <c r="K13" s="9">
        <f t="shared" si="0"/>
        <v>1834394</v>
      </c>
      <c r="L13" s="47"/>
      <c r="M13" s="40"/>
      <c r="N13" s="6"/>
      <c r="O13" s="6"/>
      <c r="P13" s="40"/>
      <c r="Q13" s="18"/>
    </row>
    <row r="14" spans="1:17" ht="13.5" customHeight="1">
      <c r="A14" s="60"/>
      <c r="B14" s="52" t="s">
        <v>25</v>
      </c>
      <c r="C14" s="47">
        <v>1450</v>
      </c>
      <c r="D14" s="77">
        <v>2142.7800000000002</v>
      </c>
      <c r="E14" s="49">
        <v>0.85</v>
      </c>
      <c r="F14" s="47">
        <f t="shared" ref="F14" si="2">ROUNDDOWN(C14*D14*E14,0)</f>
        <v>2640976</v>
      </c>
      <c r="G14" s="5"/>
      <c r="H14" s="5"/>
      <c r="I14" s="5"/>
      <c r="J14" s="24"/>
      <c r="K14" s="9">
        <f>ROUNDDOWN(G14*J14,0)</f>
        <v>0</v>
      </c>
      <c r="L14" s="47">
        <v>400</v>
      </c>
      <c r="M14" s="22">
        <v>1425.6</v>
      </c>
      <c r="N14" s="5">
        <v>0</v>
      </c>
      <c r="O14" s="5">
        <v>0</v>
      </c>
      <c r="P14" s="22">
        <v>18.98</v>
      </c>
      <c r="Q14" s="27">
        <f t="shared" si="1"/>
        <v>0</v>
      </c>
    </row>
    <row r="15" spans="1:17">
      <c r="A15" s="60"/>
      <c r="B15" s="52"/>
      <c r="C15" s="47"/>
      <c r="D15" s="78"/>
      <c r="E15" s="50"/>
      <c r="F15" s="47"/>
      <c r="G15" s="5">
        <v>403368</v>
      </c>
      <c r="H15" s="17">
        <v>12.25</v>
      </c>
      <c r="I15" s="36">
        <f>13.31/13.25</f>
        <v>1.0045283018867925</v>
      </c>
      <c r="J15" s="26">
        <v>13.84</v>
      </c>
      <c r="K15" s="9">
        <f t="shared" si="0"/>
        <v>5582613</v>
      </c>
      <c r="L15" s="47"/>
      <c r="M15" s="22">
        <v>483.99</v>
      </c>
      <c r="N15" s="5">
        <f>ROUNDDOWN(L14*M15*1,0)</f>
        <v>193596</v>
      </c>
      <c r="O15" s="5">
        <v>0</v>
      </c>
      <c r="P15" s="22">
        <v>22.93</v>
      </c>
      <c r="Q15" s="27">
        <f t="shared" si="1"/>
        <v>0</v>
      </c>
    </row>
    <row r="16" spans="1:17">
      <c r="A16" s="60"/>
      <c r="B16" s="52"/>
      <c r="C16" s="47"/>
      <c r="D16" s="79"/>
      <c r="E16" s="51"/>
      <c r="F16" s="47"/>
      <c r="G16" s="5">
        <v>220740</v>
      </c>
      <c r="H16" s="17">
        <v>9.81</v>
      </c>
      <c r="I16" s="36">
        <f>8.93/8.87</f>
        <v>1.0067643742953778</v>
      </c>
      <c r="J16" s="26">
        <v>9.59</v>
      </c>
      <c r="K16" s="9">
        <f t="shared" si="0"/>
        <v>2116896</v>
      </c>
      <c r="L16" s="47"/>
      <c r="M16" s="40"/>
      <c r="N16" s="6"/>
      <c r="O16" s="6"/>
      <c r="P16" s="40"/>
      <c r="Q16" s="18"/>
    </row>
    <row r="17" spans="1:17" ht="13.5" customHeight="1">
      <c r="A17" s="60"/>
      <c r="B17" s="52" t="s">
        <v>11</v>
      </c>
      <c r="C17" s="47">
        <v>1450</v>
      </c>
      <c r="D17" s="77">
        <v>2142.7800000000002</v>
      </c>
      <c r="E17" s="49">
        <v>0.85</v>
      </c>
      <c r="F17" s="47">
        <f t="shared" ref="F17" si="3">ROUNDDOWN(C17*D17*E17,0)</f>
        <v>2640976</v>
      </c>
      <c r="G17" s="5">
        <v>80921</v>
      </c>
      <c r="H17" s="17">
        <v>13</v>
      </c>
      <c r="I17" s="36">
        <f>16.67/16.61</f>
        <v>1.0036122817579773</v>
      </c>
      <c r="J17" s="26">
        <v>17.260000000000002</v>
      </c>
      <c r="K17" s="9">
        <f>ROUNDDOWN(G17*J17,0)</f>
        <v>1396696</v>
      </c>
      <c r="L17" s="47">
        <v>400</v>
      </c>
      <c r="M17" s="22">
        <v>1425.6</v>
      </c>
      <c r="N17" s="5">
        <v>0</v>
      </c>
      <c r="O17" s="5">
        <v>0</v>
      </c>
      <c r="P17" s="22">
        <v>18.98</v>
      </c>
      <c r="Q17" s="27">
        <f t="shared" si="1"/>
        <v>0</v>
      </c>
    </row>
    <row r="18" spans="1:17">
      <c r="A18" s="60"/>
      <c r="B18" s="52"/>
      <c r="C18" s="47"/>
      <c r="D18" s="78"/>
      <c r="E18" s="50"/>
      <c r="F18" s="47"/>
      <c r="G18" s="5">
        <v>388807</v>
      </c>
      <c r="H18" s="17">
        <v>13</v>
      </c>
      <c r="I18" s="36">
        <f>14.25/14.19</f>
        <v>1.0042283298097252</v>
      </c>
      <c r="J18" s="26">
        <v>14.79</v>
      </c>
      <c r="K18" s="9">
        <f t="shared" si="0"/>
        <v>5750455</v>
      </c>
      <c r="L18" s="47"/>
      <c r="M18" s="22">
        <v>483.99</v>
      </c>
      <c r="N18" s="5">
        <f>ROUNDDOWN(L17*M18*1,0)</f>
        <v>193596</v>
      </c>
      <c r="O18" s="5">
        <v>0</v>
      </c>
      <c r="P18" s="22">
        <v>22.93</v>
      </c>
      <c r="Q18" s="27">
        <f t="shared" si="1"/>
        <v>0</v>
      </c>
    </row>
    <row r="19" spans="1:17">
      <c r="A19" s="60"/>
      <c r="B19" s="52"/>
      <c r="C19" s="47"/>
      <c r="D19" s="79"/>
      <c r="E19" s="51"/>
      <c r="F19" s="47"/>
      <c r="G19" s="5">
        <v>273929</v>
      </c>
      <c r="H19" s="17">
        <v>9.81</v>
      </c>
      <c r="I19" s="36">
        <f>8.93/8.87</f>
        <v>1.0067643742953778</v>
      </c>
      <c r="J19" s="26">
        <v>9.59</v>
      </c>
      <c r="K19" s="9">
        <f t="shared" si="0"/>
        <v>2626979</v>
      </c>
      <c r="L19" s="47"/>
      <c r="M19" s="40"/>
      <c r="N19" s="6"/>
      <c r="O19" s="6"/>
      <c r="P19" s="40"/>
      <c r="Q19" s="18"/>
    </row>
    <row r="20" spans="1:17" ht="13.5" customHeight="1">
      <c r="A20" s="60"/>
      <c r="B20" s="52" t="s">
        <v>12</v>
      </c>
      <c r="C20" s="47">
        <v>1450</v>
      </c>
      <c r="D20" s="77">
        <v>2142.7800000000002</v>
      </c>
      <c r="E20" s="49">
        <v>0.85</v>
      </c>
      <c r="F20" s="47">
        <f t="shared" ref="F20" si="4">ROUNDDOWN(C20*D20*E20,0)</f>
        <v>2640976</v>
      </c>
      <c r="G20" s="5">
        <v>81422</v>
      </c>
      <c r="H20" s="17">
        <v>13</v>
      </c>
      <c r="I20" s="36">
        <f>16.67/16.61</f>
        <v>1.0036122817579773</v>
      </c>
      <c r="J20" s="26">
        <v>17.260000000000002</v>
      </c>
      <c r="K20" s="9">
        <f>ROUNDDOWN(G20*J20,0)</f>
        <v>1405343</v>
      </c>
      <c r="L20" s="47">
        <v>400</v>
      </c>
      <c r="M20" s="22">
        <v>1425.6</v>
      </c>
      <c r="N20" s="5">
        <v>0</v>
      </c>
      <c r="O20" s="5">
        <v>0</v>
      </c>
      <c r="P20" s="22">
        <v>18.98</v>
      </c>
      <c r="Q20" s="27">
        <f t="shared" si="1"/>
        <v>0</v>
      </c>
    </row>
    <row r="21" spans="1:17">
      <c r="A21" s="60"/>
      <c r="B21" s="52"/>
      <c r="C21" s="47"/>
      <c r="D21" s="78"/>
      <c r="E21" s="50"/>
      <c r="F21" s="47"/>
      <c r="G21" s="5">
        <v>396322</v>
      </c>
      <c r="H21" s="17">
        <v>13</v>
      </c>
      <c r="I21" s="36">
        <f>14.25/14.19</f>
        <v>1.0042283298097252</v>
      </c>
      <c r="J21" s="26">
        <v>14.79</v>
      </c>
      <c r="K21" s="9">
        <f t="shared" si="0"/>
        <v>5861602</v>
      </c>
      <c r="L21" s="47"/>
      <c r="M21" s="22">
        <v>483.99</v>
      </c>
      <c r="N21" s="5">
        <f>ROUNDDOWN(L20*M21*1,0)</f>
        <v>193596</v>
      </c>
      <c r="O21" s="5">
        <v>0</v>
      </c>
      <c r="P21" s="22">
        <v>22.93</v>
      </c>
      <c r="Q21" s="27">
        <f t="shared" si="1"/>
        <v>0</v>
      </c>
    </row>
    <row r="22" spans="1:17">
      <c r="A22" s="60"/>
      <c r="B22" s="52"/>
      <c r="C22" s="47"/>
      <c r="D22" s="79"/>
      <c r="E22" s="51"/>
      <c r="F22" s="47"/>
      <c r="G22" s="5">
        <v>288924</v>
      </c>
      <c r="H22" s="17">
        <v>9.81</v>
      </c>
      <c r="I22" s="36">
        <f>8.93/8.87</f>
        <v>1.0067643742953778</v>
      </c>
      <c r="J22" s="26">
        <v>9.59</v>
      </c>
      <c r="K22" s="9">
        <f t="shared" si="0"/>
        <v>2770781</v>
      </c>
      <c r="L22" s="47"/>
      <c r="M22" s="40"/>
      <c r="N22" s="6"/>
      <c r="O22" s="6"/>
      <c r="P22" s="40"/>
      <c r="Q22" s="18"/>
    </row>
    <row r="23" spans="1:17" ht="13.5" customHeight="1">
      <c r="A23" s="60"/>
      <c r="B23" s="52" t="s">
        <v>13</v>
      </c>
      <c r="C23" s="47">
        <v>1450</v>
      </c>
      <c r="D23" s="77">
        <v>2142.7800000000002</v>
      </c>
      <c r="E23" s="49">
        <v>0.85</v>
      </c>
      <c r="F23" s="47">
        <f t="shared" ref="F23" si="5">ROUNDDOWN(C23*D23*E23,0)</f>
        <v>2640976</v>
      </c>
      <c r="G23" s="5">
        <v>81628</v>
      </c>
      <c r="H23" s="17">
        <v>13</v>
      </c>
      <c r="I23" s="36">
        <f>16.67/16.61</f>
        <v>1.0036122817579773</v>
      </c>
      <c r="J23" s="26">
        <v>17.260000000000002</v>
      </c>
      <c r="K23" s="9">
        <f>ROUNDDOWN(G23*J23,0)</f>
        <v>1408899</v>
      </c>
      <c r="L23" s="47">
        <v>400</v>
      </c>
      <c r="M23" s="22">
        <v>1425.6</v>
      </c>
      <c r="N23" s="5">
        <v>0</v>
      </c>
      <c r="O23" s="5">
        <v>0</v>
      </c>
      <c r="P23" s="22">
        <v>18.98</v>
      </c>
      <c r="Q23" s="27">
        <f t="shared" si="1"/>
        <v>0</v>
      </c>
    </row>
    <row r="24" spans="1:17">
      <c r="A24" s="60"/>
      <c r="B24" s="52"/>
      <c r="C24" s="47"/>
      <c r="D24" s="78"/>
      <c r="E24" s="50"/>
      <c r="F24" s="47"/>
      <c r="G24" s="5">
        <v>354284</v>
      </c>
      <c r="H24" s="17">
        <v>13</v>
      </c>
      <c r="I24" s="36">
        <f>14.25/14.19</f>
        <v>1.0042283298097252</v>
      </c>
      <c r="J24" s="26">
        <v>14.79</v>
      </c>
      <c r="K24" s="9">
        <f t="shared" si="0"/>
        <v>5239860</v>
      </c>
      <c r="L24" s="47"/>
      <c r="M24" s="22">
        <v>483.99</v>
      </c>
      <c r="N24" s="5">
        <f>ROUNDDOWN(L23*M24*1,0)</f>
        <v>193596</v>
      </c>
      <c r="O24" s="5">
        <v>0</v>
      </c>
      <c r="P24" s="22">
        <v>22.93</v>
      </c>
      <c r="Q24" s="27">
        <f t="shared" si="1"/>
        <v>0</v>
      </c>
    </row>
    <row r="25" spans="1:17">
      <c r="A25" s="60"/>
      <c r="B25" s="52"/>
      <c r="C25" s="47"/>
      <c r="D25" s="79"/>
      <c r="E25" s="51"/>
      <c r="F25" s="47"/>
      <c r="G25" s="5">
        <v>266136</v>
      </c>
      <c r="H25" s="17">
        <v>9.81</v>
      </c>
      <c r="I25" s="36">
        <f>8.93/8.87</f>
        <v>1.0067643742953778</v>
      </c>
      <c r="J25" s="26">
        <v>9.59</v>
      </c>
      <c r="K25" s="9">
        <f t="shared" si="0"/>
        <v>2552244</v>
      </c>
      <c r="L25" s="47"/>
      <c r="M25" s="40"/>
      <c r="N25" s="6"/>
      <c r="O25" s="6"/>
      <c r="P25" s="40"/>
      <c r="Q25" s="18"/>
    </row>
    <row r="26" spans="1:17" ht="13.5" customHeight="1">
      <c r="A26" s="60"/>
      <c r="B26" s="52" t="s">
        <v>14</v>
      </c>
      <c r="C26" s="47">
        <v>1450</v>
      </c>
      <c r="D26" s="77">
        <v>2142.7800000000002</v>
      </c>
      <c r="E26" s="49">
        <v>0.85</v>
      </c>
      <c r="F26" s="47">
        <f t="shared" ref="F26" si="6">ROUNDDOWN(C26*D26*E26,0)</f>
        <v>2640976</v>
      </c>
      <c r="G26" s="5"/>
      <c r="H26" s="5"/>
      <c r="I26" s="5"/>
      <c r="J26" s="24"/>
      <c r="K26" s="9">
        <f>ROUNDDOWN(G26*J26,0)</f>
        <v>0</v>
      </c>
      <c r="L26" s="47">
        <v>400</v>
      </c>
      <c r="M26" s="22">
        <v>1425.6</v>
      </c>
      <c r="N26" s="5">
        <v>0</v>
      </c>
      <c r="O26" s="5">
        <v>0</v>
      </c>
      <c r="P26" s="22">
        <v>18.98</v>
      </c>
      <c r="Q26" s="27">
        <f t="shared" si="1"/>
        <v>0</v>
      </c>
    </row>
    <row r="27" spans="1:17">
      <c r="A27" s="60"/>
      <c r="B27" s="52"/>
      <c r="C27" s="47"/>
      <c r="D27" s="78"/>
      <c r="E27" s="50"/>
      <c r="F27" s="47"/>
      <c r="G27" s="5">
        <v>355968</v>
      </c>
      <c r="H27" s="17">
        <v>12.25</v>
      </c>
      <c r="I27" s="36">
        <f>13.31/13.25</f>
        <v>1.0045283018867925</v>
      </c>
      <c r="J27" s="26">
        <v>13.84</v>
      </c>
      <c r="K27" s="9">
        <f t="shared" si="0"/>
        <v>4926597</v>
      </c>
      <c r="L27" s="47"/>
      <c r="M27" s="22">
        <v>483.99</v>
      </c>
      <c r="N27" s="5">
        <f>ROUNDDOWN(L26*M27*1,0)</f>
        <v>193596</v>
      </c>
      <c r="O27" s="5">
        <v>0</v>
      </c>
      <c r="P27" s="22">
        <v>22.93</v>
      </c>
      <c r="Q27" s="27">
        <f t="shared" si="1"/>
        <v>0</v>
      </c>
    </row>
    <row r="28" spans="1:17">
      <c r="A28" s="60"/>
      <c r="B28" s="52"/>
      <c r="C28" s="47"/>
      <c r="D28" s="79"/>
      <c r="E28" s="51"/>
      <c r="F28" s="47"/>
      <c r="G28" s="5">
        <v>219941</v>
      </c>
      <c r="H28" s="17">
        <v>9.81</v>
      </c>
      <c r="I28" s="36">
        <f>8.93/8.87</f>
        <v>1.0067643742953778</v>
      </c>
      <c r="J28" s="26">
        <v>9.59</v>
      </c>
      <c r="K28" s="9">
        <f t="shared" si="0"/>
        <v>2109234</v>
      </c>
      <c r="L28" s="47"/>
      <c r="M28" s="40"/>
      <c r="N28" s="6"/>
      <c r="O28" s="6"/>
      <c r="P28" s="40"/>
      <c r="Q28" s="18"/>
    </row>
    <row r="29" spans="1:17" ht="13.5" customHeight="1">
      <c r="A29" s="60"/>
      <c r="B29" s="52" t="s">
        <v>15</v>
      </c>
      <c r="C29" s="47">
        <v>1450</v>
      </c>
      <c r="D29" s="77">
        <v>2142.7800000000002</v>
      </c>
      <c r="E29" s="49">
        <v>0.85</v>
      </c>
      <c r="F29" s="47">
        <f t="shared" ref="F29" si="7">ROUNDDOWN(C29*D29*E29,0)</f>
        <v>2640976</v>
      </c>
      <c r="G29" s="5"/>
      <c r="H29" s="5"/>
      <c r="I29" s="5"/>
      <c r="J29" s="24"/>
      <c r="K29" s="9">
        <f>ROUNDDOWN(G29*J29,0)</f>
        <v>0</v>
      </c>
      <c r="L29" s="47">
        <v>400</v>
      </c>
      <c r="M29" s="22">
        <v>1425.6</v>
      </c>
      <c r="N29" s="5">
        <v>0</v>
      </c>
      <c r="O29" s="5">
        <v>0</v>
      </c>
      <c r="P29" s="22">
        <v>18.98</v>
      </c>
      <c r="Q29" s="27">
        <f t="shared" si="1"/>
        <v>0</v>
      </c>
    </row>
    <row r="30" spans="1:17">
      <c r="A30" s="60"/>
      <c r="B30" s="52"/>
      <c r="C30" s="47"/>
      <c r="D30" s="78"/>
      <c r="E30" s="50"/>
      <c r="F30" s="47"/>
      <c r="G30" s="5">
        <v>262601</v>
      </c>
      <c r="H30" s="17">
        <v>12.25</v>
      </c>
      <c r="I30" s="36">
        <f>13.31/13.25</f>
        <v>1.0045283018867925</v>
      </c>
      <c r="J30" s="26">
        <v>13.84</v>
      </c>
      <c r="K30" s="9">
        <f t="shared" si="0"/>
        <v>3634397</v>
      </c>
      <c r="L30" s="47"/>
      <c r="M30" s="22">
        <v>483.99</v>
      </c>
      <c r="N30" s="5">
        <f>ROUNDDOWN(L29*M30*1,0)</f>
        <v>193596</v>
      </c>
      <c r="O30" s="5">
        <v>0</v>
      </c>
      <c r="P30" s="22">
        <v>22.93</v>
      </c>
      <c r="Q30" s="27">
        <f t="shared" si="1"/>
        <v>0</v>
      </c>
    </row>
    <row r="31" spans="1:17">
      <c r="A31" s="60"/>
      <c r="B31" s="52"/>
      <c r="C31" s="47"/>
      <c r="D31" s="79"/>
      <c r="E31" s="51"/>
      <c r="F31" s="47"/>
      <c r="G31" s="5">
        <v>266097</v>
      </c>
      <c r="H31" s="17">
        <v>9.81</v>
      </c>
      <c r="I31" s="36">
        <f>8.93/8.87</f>
        <v>1.0067643742953778</v>
      </c>
      <c r="J31" s="26">
        <v>9.59</v>
      </c>
      <c r="K31" s="9">
        <f t="shared" si="0"/>
        <v>2551870</v>
      </c>
      <c r="L31" s="47"/>
      <c r="M31" s="40"/>
      <c r="N31" s="6"/>
      <c r="O31" s="6"/>
      <c r="P31" s="40"/>
      <c r="Q31" s="18"/>
    </row>
    <row r="32" spans="1:17" ht="13.5" customHeight="1">
      <c r="A32" s="60"/>
      <c r="B32" s="52" t="s">
        <v>16</v>
      </c>
      <c r="C32" s="47">
        <v>1450</v>
      </c>
      <c r="D32" s="77">
        <v>2142.7800000000002</v>
      </c>
      <c r="E32" s="49">
        <v>0.85</v>
      </c>
      <c r="F32" s="47">
        <f t="shared" ref="F32" si="8">ROUNDDOWN(C32*D32*E32,0)</f>
        <v>2640976</v>
      </c>
      <c r="G32" s="5"/>
      <c r="H32" s="5"/>
      <c r="I32" s="5"/>
      <c r="J32" s="24"/>
      <c r="K32" s="9">
        <f>ROUNDDOWN(G32*J32,0)</f>
        <v>0</v>
      </c>
      <c r="L32" s="47">
        <v>400</v>
      </c>
      <c r="M32" s="22">
        <v>1425.6</v>
      </c>
      <c r="N32" s="5">
        <v>0</v>
      </c>
      <c r="O32" s="5">
        <v>0</v>
      </c>
      <c r="P32" s="22">
        <v>18.98</v>
      </c>
      <c r="Q32" s="27">
        <f t="shared" si="1"/>
        <v>0</v>
      </c>
    </row>
    <row r="33" spans="1:22">
      <c r="A33" s="60"/>
      <c r="B33" s="52"/>
      <c r="C33" s="47"/>
      <c r="D33" s="78"/>
      <c r="E33" s="50"/>
      <c r="F33" s="47"/>
      <c r="G33" s="5">
        <v>342432</v>
      </c>
      <c r="H33" s="17">
        <v>12.25</v>
      </c>
      <c r="I33" s="36">
        <f>13.31/13.25</f>
        <v>1.0045283018867925</v>
      </c>
      <c r="J33" s="26">
        <v>13.84</v>
      </c>
      <c r="K33" s="9">
        <f t="shared" si="0"/>
        <v>4739258</v>
      </c>
      <c r="L33" s="47"/>
      <c r="M33" s="22">
        <v>483.99</v>
      </c>
      <c r="N33" s="5">
        <f>ROUNDDOWN(L32*M33*1,0)</f>
        <v>193596</v>
      </c>
      <c r="O33" s="5">
        <v>0</v>
      </c>
      <c r="P33" s="22">
        <v>22.93</v>
      </c>
      <c r="Q33" s="27">
        <f t="shared" si="1"/>
        <v>0</v>
      </c>
    </row>
    <row r="34" spans="1:22">
      <c r="A34" s="60"/>
      <c r="B34" s="52"/>
      <c r="C34" s="47"/>
      <c r="D34" s="79"/>
      <c r="E34" s="51"/>
      <c r="F34" s="47"/>
      <c r="G34" s="5">
        <v>211886</v>
      </c>
      <c r="H34" s="17">
        <v>9.81</v>
      </c>
      <c r="I34" s="36">
        <f>8.93/8.87</f>
        <v>1.0067643742953778</v>
      </c>
      <c r="J34" s="26">
        <v>9.59</v>
      </c>
      <c r="K34" s="9">
        <f t="shared" si="0"/>
        <v>2031986</v>
      </c>
      <c r="L34" s="47"/>
      <c r="M34" s="40"/>
      <c r="N34" s="6"/>
      <c r="O34" s="6"/>
      <c r="P34" s="40"/>
      <c r="Q34" s="18"/>
    </row>
    <row r="35" spans="1:22" ht="13.5" customHeight="1">
      <c r="A35" s="60"/>
      <c r="B35" s="52" t="s">
        <v>35</v>
      </c>
      <c r="C35" s="47">
        <v>1450</v>
      </c>
      <c r="D35" s="77">
        <v>2142.7800000000002</v>
      </c>
      <c r="E35" s="49">
        <v>0.85</v>
      </c>
      <c r="F35" s="47">
        <f t="shared" ref="F35" si="9">ROUNDDOWN(C35*D35*E35,0)</f>
        <v>2640976</v>
      </c>
      <c r="G35" s="5"/>
      <c r="H35" s="5"/>
      <c r="I35" s="5"/>
      <c r="J35" s="24"/>
      <c r="K35" s="9">
        <f>ROUNDDOWN(G35*J35,0)</f>
        <v>0</v>
      </c>
      <c r="L35" s="47">
        <v>400</v>
      </c>
      <c r="M35" s="22">
        <v>1425.6</v>
      </c>
      <c r="N35" s="5">
        <v>0</v>
      </c>
      <c r="O35" s="5">
        <v>0</v>
      </c>
      <c r="P35" s="22">
        <v>18.98</v>
      </c>
      <c r="Q35" s="27">
        <f t="shared" si="1"/>
        <v>0</v>
      </c>
    </row>
    <row r="36" spans="1:22">
      <c r="A36" s="60"/>
      <c r="B36" s="52"/>
      <c r="C36" s="47"/>
      <c r="D36" s="78"/>
      <c r="E36" s="50"/>
      <c r="F36" s="47"/>
      <c r="G36" s="5">
        <v>369720</v>
      </c>
      <c r="H36" s="17">
        <v>12.25</v>
      </c>
      <c r="I36" s="36">
        <f>13.31/13.25</f>
        <v>1.0045283018867925</v>
      </c>
      <c r="J36" s="26">
        <v>13.84</v>
      </c>
      <c r="K36" s="9">
        <f t="shared" si="0"/>
        <v>5116924</v>
      </c>
      <c r="L36" s="47"/>
      <c r="M36" s="22">
        <v>483.99</v>
      </c>
      <c r="N36" s="5">
        <f>ROUNDDOWN(L35*M36*1,0)</f>
        <v>193596</v>
      </c>
      <c r="O36" s="5">
        <v>0</v>
      </c>
      <c r="P36" s="22">
        <v>22.93</v>
      </c>
      <c r="Q36" s="27">
        <f t="shared" si="1"/>
        <v>0</v>
      </c>
    </row>
    <row r="37" spans="1:22">
      <c r="A37" s="60"/>
      <c r="B37" s="52"/>
      <c r="C37" s="47"/>
      <c r="D37" s="79"/>
      <c r="E37" s="51"/>
      <c r="F37" s="47"/>
      <c r="G37" s="5">
        <v>225430</v>
      </c>
      <c r="H37" s="17">
        <v>9.81</v>
      </c>
      <c r="I37" s="36">
        <f>8.93/8.87</f>
        <v>1.0067643742953778</v>
      </c>
      <c r="J37" s="26">
        <v>9.59</v>
      </c>
      <c r="K37" s="9">
        <f t="shared" si="0"/>
        <v>2161873</v>
      </c>
      <c r="L37" s="47"/>
      <c r="M37" s="40"/>
      <c r="N37" s="6"/>
      <c r="O37" s="6"/>
      <c r="P37" s="40"/>
      <c r="Q37" s="18"/>
    </row>
    <row r="38" spans="1:22">
      <c r="A38" s="60"/>
      <c r="B38" s="52" t="s">
        <v>36</v>
      </c>
      <c r="C38" s="47">
        <v>1450</v>
      </c>
      <c r="D38" s="77">
        <v>2142.7800000000002</v>
      </c>
      <c r="E38" s="49">
        <v>0.85</v>
      </c>
      <c r="F38" s="47">
        <f t="shared" ref="F38" si="10">ROUNDDOWN(C38*D38*E38,0)</f>
        <v>2640976</v>
      </c>
      <c r="G38" s="5"/>
      <c r="H38" s="5"/>
      <c r="I38" s="5"/>
      <c r="J38" s="24"/>
      <c r="K38" s="9">
        <f>ROUNDDOWN(G38*J38,0)</f>
        <v>0</v>
      </c>
      <c r="L38" s="47">
        <v>400</v>
      </c>
      <c r="M38" s="22">
        <v>1425.6</v>
      </c>
      <c r="N38" s="5">
        <v>0</v>
      </c>
      <c r="O38" s="5">
        <v>0</v>
      </c>
      <c r="P38" s="22">
        <v>18.98</v>
      </c>
      <c r="Q38" s="27">
        <f t="shared" si="1"/>
        <v>0</v>
      </c>
    </row>
    <row r="39" spans="1:22">
      <c r="A39" s="60"/>
      <c r="B39" s="52"/>
      <c r="C39" s="47"/>
      <c r="D39" s="78"/>
      <c r="E39" s="50"/>
      <c r="F39" s="47"/>
      <c r="G39" s="5">
        <v>304008</v>
      </c>
      <c r="H39" s="17">
        <v>12.25</v>
      </c>
      <c r="I39" s="36">
        <f>13.31/13.25</f>
        <v>1.0045283018867925</v>
      </c>
      <c r="J39" s="26">
        <v>13.84</v>
      </c>
      <c r="K39" s="9">
        <f t="shared" si="0"/>
        <v>4207470</v>
      </c>
      <c r="L39" s="47"/>
      <c r="M39" s="22">
        <v>483.99</v>
      </c>
      <c r="N39" s="5">
        <f>ROUNDDOWN(L38*M39*1,0)</f>
        <v>193596</v>
      </c>
      <c r="O39" s="5">
        <v>0</v>
      </c>
      <c r="P39" s="22">
        <v>22.93</v>
      </c>
      <c r="Q39" s="27">
        <f t="shared" si="1"/>
        <v>0</v>
      </c>
    </row>
    <row r="40" spans="1:22">
      <c r="A40" s="60"/>
      <c r="B40" s="52"/>
      <c r="C40" s="47"/>
      <c r="D40" s="79"/>
      <c r="E40" s="51"/>
      <c r="F40" s="47"/>
      <c r="G40" s="5">
        <v>190546</v>
      </c>
      <c r="H40" s="17">
        <v>9.81</v>
      </c>
      <c r="I40" s="36">
        <f>8.93/8.87</f>
        <v>1.0067643742953778</v>
      </c>
      <c r="J40" s="26">
        <v>9.59</v>
      </c>
      <c r="K40" s="9">
        <f t="shared" si="0"/>
        <v>1827336</v>
      </c>
      <c r="L40" s="47"/>
      <c r="M40" s="40"/>
      <c r="N40" s="6"/>
      <c r="O40" s="6"/>
      <c r="P40" s="40"/>
      <c r="Q40" s="18"/>
    </row>
    <row r="41" spans="1:22">
      <c r="A41" s="60"/>
      <c r="B41" s="52" t="s">
        <v>37</v>
      </c>
      <c r="C41" s="47">
        <v>1450</v>
      </c>
      <c r="D41" s="77">
        <v>2142.7800000000002</v>
      </c>
      <c r="E41" s="49">
        <v>0.85</v>
      </c>
      <c r="F41" s="47">
        <f t="shared" ref="F41" si="11">ROUNDDOWN(C41*D41*E41,0)</f>
        <v>2640976</v>
      </c>
      <c r="G41" s="5"/>
      <c r="H41" s="5"/>
      <c r="I41" s="5"/>
      <c r="J41" s="24"/>
      <c r="K41" s="9">
        <f>ROUNDDOWN(G41*J41,0)</f>
        <v>0</v>
      </c>
      <c r="L41" s="47">
        <v>400</v>
      </c>
      <c r="M41" s="22">
        <v>1425.6</v>
      </c>
      <c r="N41" s="5">
        <v>0</v>
      </c>
      <c r="O41" s="5">
        <v>0</v>
      </c>
      <c r="P41" s="22">
        <v>18.98</v>
      </c>
      <c r="Q41" s="27">
        <f t="shared" si="1"/>
        <v>0</v>
      </c>
    </row>
    <row r="42" spans="1:22">
      <c r="A42" s="60"/>
      <c r="B42" s="52"/>
      <c r="C42" s="47"/>
      <c r="D42" s="78"/>
      <c r="E42" s="50"/>
      <c r="F42" s="47"/>
      <c r="G42" s="5">
        <v>307776</v>
      </c>
      <c r="H42" s="17">
        <v>12.25</v>
      </c>
      <c r="I42" s="36">
        <f>13.31/13.25</f>
        <v>1.0045283018867925</v>
      </c>
      <c r="J42" s="26">
        <v>13.84</v>
      </c>
      <c r="K42" s="9">
        <f t="shared" si="0"/>
        <v>4259619</v>
      </c>
      <c r="L42" s="47"/>
      <c r="M42" s="22">
        <v>483.99</v>
      </c>
      <c r="N42" s="5">
        <f>ROUNDDOWN(L41*M42*1,0)</f>
        <v>193596</v>
      </c>
      <c r="O42" s="5">
        <v>0</v>
      </c>
      <c r="P42" s="22">
        <v>22.93</v>
      </c>
      <c r="Q42" s="27">
        <f t="shared" si="1"/>
        <v>0</v>
      </c>
    </row>
    <row r="43" spans="1:22">
      <c r="A43" s="61"/>
      <c r="B43" s="52"/>
      <c r="C43" s="47"/>
      <c r="D43" s="79"/>
      <c r="E43" s="51"/>
      <c r="F43" s="47"/>
      <c r="G43" s="5">
        <v>198156</v>
      </c>
      <c r="H43" s="17">
        <v>9.81</v>
      </c>
      <c r="I43" s="36">
        <f>8.93/8.87</f>
        <v>1.0067643742953778</v>
      </c>
      <c r="J43" s="26">
        <v>9.59</v>
      </c>
      <c r="K43" s="9">
        <f t="shared" si="0"/>
        <v>1900316</v>
      </c>
      <c r="L43" s="47"/>
      <c r="M43" s="18"/>
      <c r="N43" s="6"/>
      <c r="O43" s="6"/>
      <c r="P43" s="18"/>
      <c r="Q43" s="18"/>
    </row>
    <row r="44" spans="1:22">
      <c r="A44" s="52" t="s">
        <v>48</v>
      </c>
      <c r="B44" s="52"/>
      <c r="C44" s="6"/>
      <c r="D44" s="6"/>
      <c r="E44" s="5"/>
      <c r="F44" s="5">
        <f>SUM(F8:F43)</f>
        <v>31691712</v>
      </c>
      <c r="G44" s="5">
        <f>SUM(G8:G43)</f>
        <v>7082028</v>
      </c>
      <c r="H44" s="5"/>
      <c r="I44" s="5"/>
      <c r="J44" s="19"/>
      <c r="K44" s="9">
        <f>SUM(K8:K43)</f>
        <v>88324907</v>
      </c>
      <c r="L44" s="6"/>
      <c r="M44" s="29"/>
      <c r="N44" s="27">
        <f>SUM(N8:N43)</f>
        <v>2323152</v>
      </c>
      <c r="O44" s="5">
        <f>SUM(O8:O43)</f>
        <v>0</v>
      </c>
      <c r="P44" s="18"/>
      <c r="Q44" s="5">
        <f>SUM(Q8:Q43)</f>
        <v>0</v>
      </c>
    </row>
    <row r="45" spans="1:22" ht="20.100000000000001" customHeight="1">
      <c r="A45" s="89" t="s">
        <v>90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37"/>
      <c r="N45" s="88" t="s">
        <v>54</v>
      </c>
      <c r="O45" s="88"/>
      <c r="P45" s="91">
        <f>F44+K44+N44</f>
        <v>122339771</v>
      </c>
      <c r="Q45" s="92"/>
      <c r="S45" s="100"/>
      <c r="T45" s="100"/>
      <c r="U45" s="101"/>
      <c r="V45" s="102"/>
    </row>
    <row r="46" spans="1:22" ht="13.5" customHeight="1">
      <c r="A46" s="90" t="s">
        <v>91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2"/>
      <c r="N46" s="103" t="s">
        <v>59</v>
      </c>
      <c r="O46" s="104"/>
      <c r="P46" s="91">
        <f>ROUNDUP(P45/1.1,0)</f>
        <v>111217974</v>
      </c>
      <c r="Q46" s="92"/>
    </row>
    <row r="47" spans="1:22" ht="17.25" customHeight="1">
      <c r="A47" s="90" t="s">
        <v>94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"/>
      <c r="N47" s="12"/>
      <c r="O47" s="12"/>
      <c r="P47" s="12"/>
      <c r="Q47" s="12"/>
    </row>
    <row r="48" spans="1:22" s="12" customFormat="1" ht="17.25" customHeight="1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"/>
      <c r="N48"/>
      <c r="O48"/>
      <c r="P48"/>
      <c r="Q48"/>
    </row>
    <row r="49" spans="1:17" s="12" customFormat="1" ht="17.25" customHeight="1">
      <c r="A49" s="90" t="s">
        <v>93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"/>
      <c r="N49"/>
      <c r="O49"/>
      <c r="P49"/>
      <c r="Q49"/>
    </row>
    <row r="50" spans="1:17" ht="17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2"/>
    </row>
    <row r="51" spans="1:1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2"/>
    </row>
    <row r="52" spans="1:1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"/>
    </row>
    <row r="53" spans="1:1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"/>
    </row>
    <row r="54" spans="1:1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2"/>
    </row>
    <row r="55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mergeCells count="104">
    <mergeCell ref="A46:L46"/>
    <mergeCell ref="N46:O46"/>
    <mergeCell ref="P46:Q46"/>
    <mergeCell ref="A47:L47"/>
    <mergeCell ref="A48:L48"/>
    <mergeCell ref="A49:L49"/>
    <mergeCell ref="A44:B44"/>
    <mergeCell ref="A45:L45"/>
    <mergeCell ref="N45:O45"/>
    <mergeCell ref="P45:Q45"/>
    <mergeCell ref="S45:T45"/>
    <mergeCell ref="U45:V45"/>
    <mergeCell ref="B41:B43"/>
    <mergeCell ref="C41:C43"/>
    <mergeCell ref="D41:D43"/>
    <mergeCell ref="E41:E43"/>
    <mergeCell ref="F41:F43"/>
    <mergeCell ref="L41:L43"/>
    <mergeCell ref="B38:B40"/>
    <mergeCell ref="C38:C40"/>
    <mergeCell ref="D38:D40"/>
    <mergeCell ref="E38:E40"/>
    <mergeCell ref="F38:F40"/>
    <mergeCell ref="L38:L40"/>
    <mergeCell ref="B35:B37"/>
    <mergeCell ref="C35:C37"/>
    <mergeCell ref="D35:D37"/>
    <mergeCell ref="E35:E37"/>
    <mergeCell ref="F35:F37"/>
    <mergeCell ref="L35:L37"/>
    <mergeCell ref="B32:B34"/>
    <mergeCell ref="C32:C34"/>
    <mergeCell ref="D32:D34"/>
    <mergeCell ref="E32:E34"/>
    <mergeCell ref="F32:F34"/>
    <mergeCell ref="L32:L34"/>
    <mergeCell ref="B29:B31"/>
    <mergeCell ref="C29:C31"/>
    <mergeCell ref="D29:D31"/>
    <mergeCell ref="E29:E31"/>
    <mergeCell ref="F29:F31"/>
    <mergeCell ref="L29:L31"/>
    <mergeCell ref="B26:B28"/>
    <mergeCell ref="C26:C28"/>
    <mergeCell ref="D26:D28"/>
    <mergeCell ref="E26:E28"/>
    <mergeCell ref="F26:F28"/>
    <mergeCell ref="L26:L28"/>
    <mergeCell ref="L17:L19"/>
    <mergeCell ref="B14:B16"/>
    <mergeCell ref="C14:C16"/>
    <mergeCell ref="D14:D16"/>
    <mergeCell ref="E14:E16"/>
    <mergeCell ref="F14:F16"/>
    <mergeCell ref="L14:L16"/>
    <mergeCell ref="B23:B25"/>
    <mergeCell ref="C23:C25"/>
    <mergeCell ref="D23:D25"/>
    <mergeCell ref="E23:E25"/>
    <mergeCell ref="F23:F25"/>
    <mergeCell ref="L23:L25"/>
    <mergeCell ref="B20:B22"/>
    <mergeCell ref="C20:C22"/>
    <mergeCell ref="D20:D22"/>
    <mergeCell ref="E20:E22"/>
    <mergeCell ref="F20:F22"/>
    <mergeCell ref="L20:L22"/>
    <mergeCell ref="A8:A43"/>
    <mergeCell ref="B8:B10"/>
    <mergeCell ref="C8:C10"/>
    <mergeCell ref="D8:D10"/>
    <mergeCell ref="E8:E10"/>
    <mergeCell ref="F8:F10"/>
    <mergeCell ref="L8:L10"/>
    <mergeCell ref="E5:E6"/>
    <mergeCell ref="F5:F6"/>
    <mergeCell ref="H5:H6"/>
    <mergeCell ref="I5:I6"/>
    <mergeCell ref="K5:K6"/>
    <mergeCell ref="L5:L6"/>
    <mergeCell ref="B11:B13"/>
    <mergeCell ref="C11:C13"/>
    <mergeCell ref="D11:D13"/>
    <mergeCell ref="E11:E13"/>
    <mergeCell ref="F11:F13"/>
    <mergeCell ref="L11:L13"/>
    <mergeCell ref="B17:B19"/>
    <mergeCell ref="C17:C19"/>
    <mergeCell ref="D17:D19"/>
    <mergeCell ref="E17:E19"/>
    <mergeCell ref="F17:F19"/>
    <mergeCell ref="A1:Q2"/>
    <mergeCell ref="A3:B7"/>
    <mergeCell ref="C3:K3"/>
    <mergeCell ref="L3:Q3"/>
    <mergeCell ref="C4:F4"/>
    <mergeCell ref="G4:K4"/>
    <mergeCell ref="L4:N4"/>
    <mergeCell ref="O4:Q4"/>
    <mergeCell ref="C5:C6"/>
    <mergeCell ref="D5:D6"/>
    <mergeCell ref="M5:M6"/>
    <mergeCell ref="N5:N6"/>
    <mergeCell ref="Q5:Q6"/>
  </mergeCells>
  <phoneticPr fontId="2"/>
  <printOptions horizontalCentered="1"/>
  <pageMargins left="0.11811023622047245" right="7.874015748031496E-2" top="0.43307086614173229" bottom="0.39370078740157483" header="0.51181102362204722" footer="0.51181102362204722"/>
  <pageSetup paperSize="9" scale="8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H27年度電力A</vt:lpstr>
      <vt:lpstr>H28年度電力A</vt:lpstr>
      <vt:lpstr>H29年度電力A</vt:lpstr>
      <vt:lpstr>H30年度電力A</vt:lpstr>
      <vt:lpstr>H31年度電力A</vt:lpstr>
      <vt:lpstr>R５年度電力A</vt:lpstr>
      <vt:lpstr>R５年度電力A (約款料金)</vt:lpstr>
      <vt:lpstr>botu</vt:lpstr>
      <vt:lpstr>R6年度電力A (2)</vt:lpstr>
      <vt:lpstr>R6年度電力A (3)</vt:lpstr>
      <vt:lpstr>R7年度電力A </vt:lpstr>
      <vt:lpstr>R7年度電力A(設計用）</vt:lpstr>
      <vt:lpstr>R7年度電力A  VER2</vt:lpstr>
      <vt:lpstr>R7年度電力A  VER3</vt:lpstr>
      <vt:lpstr>botu!Print_Area</vt:lpstr>
      <vt:lpstr>H27年度電力A!Print_Area</vt:lpstr>
      <vt:lpstr>H28年度電力A!Print_Area</vt:lpstr>
      <vt:lpstr>H29年度電力A!Print_Area</vt:lpstr>
      <vt:lpstr>H30年度電力A!Print_Area</vt:lpstr>
      <vt:lpstr>'R５年度電力A'!Print_Area</vt:lpstr>
      <vt:lpstr>'R５年度電力A (約款料金)'!Print_Area</vt:lpstr>
      <vt:lpstr>'R6年度電力A (2)'!Print_Area</vt:lpstr>
      <vt:lpstr>'R6年度電力A (3)'!Print_Area</vt:lpstr>
      <vt:lpstr>'R7年度電力A '!Print_Area</vt:lpstr>
      <vt:lpstr>'R7年度電力A  VER2'!Print_Area</vt:lpstr>
      <vt:lpstr>'R7年度電力A  VER3'!Print_Area</vt:lpstr>
      <vt:lpstr>'R7年度電力A(設計用）'!Print_Area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ihppn016021</dc:creator>
  <cp:lastModifiedBy>岡田　光晴</cp:lastModifiedBy>
  <cp:lastPrinted>2025-12-05T06:09:21Z</cp:lastPrinted>
  <dcterms:created xsi:type="dcterms:W3CDTF">2023-02-07T10:40:08Z</dcterms:created>
  <dcterms:modified xsi:type="dcterms:W3CDTF">2025-12-12T04:01:58Z</dcterms:modified>
</cp:coreProperties>
</file>